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ACCI Finance\Accounts\ACE Accounts\Reports\Financial Reports\2019\Jul - Dec 2019\"/>
    </mc:Choice>
  </mc:AlternateContent>
  <xr:revisionPtr revIDLastSave="0" documentId="13_ncr:1_{6391E35B-FD75-4D87-9D56-B2E4BF94B7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urces and Uses of Funds" sheetId="4" r:id="rId1"/>
    <sheet name="uses of fund by component" sheetId="8" r:id="rId2"/>
    <sheet name="notes" sheetId="9" r:id="rId3"/>
    <sheet name="Sheet2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8" l="1"/>
  <c r="F21" i="8"/>
  <c r="C33" i="8"/>
  <c r="C21" i="8"/>
  <c r="D26" i="4" l="1"/>
  <c r="E33" i="8" l="1"/>
  <c r="F97" i="8" l="1"/>
  <c r="D25" i="4" l="1"/>
  <c r="F43" i="8" l="1"/>
  <c r="G59" i="8" l="1"/>
  <c r="G90" i="8"/>
  <c r="G103" i="8"/>
  <c r="G97" i="8"/>
  <c r="D59" i="8"/>
  <c r="F106" i="8"/>
  <c r="B3" i="11" l="1"/>
  <c r="D27" i="4"/>
  <c r="C3" i="11" l="1"/>
  <c r="C75" i="8"/>
  <c r="C38" i="4" s="1"/>
  <c r="F51" i="8"/>
  <c r="D36" i="4" s="1"/>
  <c r="F92" i="8"/>
  <c r="D42" i="4" s="1"/>
  <c r="C40" i="8"/>
  <c r="C34" i="4" s="1"/>
  <c r="C87" i="8"/>
  <c r="H90" i="8"/>
  <c r="H92" i="8" s="1"/>
  <c r="H70" i="8"/>
  <c r="H59" i="8"/>
  <c r="H49" i="8"/>
  <c r="H36" i="8"/>
  <c r="E36" i="8"/>
  <c r="G63" i="8"/>
  <c r="H63" i="8" s="1"/>
  <c r="C125" i="8"/>
  <c r="C51" i="8"/>
  <c r="C36" i="4" s="1"/>
  <c r="H55" i="8"/>
  <c r="E49" i="8"/>
  <c r="E46" i="8"/>
  <c r="E29" i="8"/>
  <c r="G48" i="8"/>
  <c r="G47" i="8"/>
  <c r="G111" i="8"/>
  <c r="H111" i="8" s="1"/>
  <c r="G65" i="8"/>
  <c r="G58" i="8"/>
  <c r="E44" i="8"/>
  <c r="E45" i="8"/>
  <c r="E47" i="8"/>
  <c r="E48" i="8"/>
  <c r="H44" i="8"/>
  <c r="H45" i="8"/>
  <c r="H47" i="8"/>
  <c r="G23" i="8"/>
  <c r="G43" i="8"/>
  <c r="G35" i="8"/>
  <c r="H35" i="8" s="1"/>
  <c r="G34" i="8"/>
  <c r="G33" i="8"/>
  <c r="H33" i="8" s="1"/>
  <c r="G32" i="8"/>
  <c r="H32" i="8" s="1"/>
  <c r="G31" i="8"/>
  <c r="G40" i="8" s="1"/>
  <c r="G30" i="8"/>
  <c r="G21" i="8"/>
  <c r="G22" i="8"/>
  <c r="G20" i="8"/>
  <c r="E63" i="8"/>
  <c r="E62" i="8"/>
  <c r="H46" i="8"/>
  <c r="H37" i="8"/>
  <c r="H54" i="8"/>
  <c r="H38" i="8"/>
  <c r="H71" i="8"/>
  <c r="H72" i="8"/>
  <c r="H73" i="8"/>
  <c r="H60" i="8"/>
  <c r="H61" i="8"/>
  <c r="H62" i="8"/>
  <c r="H64" i="8"/>
  <c r="H65" i="8"/>
  <c r="H66" i="8"/>
  <c r="H67" i="8"/>
  <c r="H68" i="8"/>
  <c r="E69" i="8"/>
  <c r="E28" i="8"/>
  <c r="E73" i="8"/>
  <c r="E72" i="8"/>
  <c r="D75" i="8"/>
  <c r="F98" i="8"/>
  <c r="F96" i="8"/>
  <c r="G57" i="8"/>
  <c r="H57" i="8"/>
  <c r="G56" i="8"/>
  <c r="D40" i="8"/>
  <c r="D25" i="8"/>
  <c r="G25" i="8"/>
  <c r="H58" i="8"/>
  <c r="G104" i="8"/>
  <c r="G96" i="8"/>
  <c r="G98" i="8"/>
  <c r="H98" i="8" s="1"/>
  <c r="G95" i="8"/>
  <c r="G79" i="8"/>
  <c r="G80" i="8"/>
  <c r="G81" i="8"/>
  <c r="G82" i="8"/>
  <c r="G83" i="8"/>
  <c r="G84" i="8"/>
  <c r="G85" i="8"/>
  <c r="G86" i="8"/>
  <c r="G78" i="8"/>
  <c r="H69" i="8"/>
  <c r="C106" i="8"/>
  <c r="C46" i="4" s="1"/>
  <c r="C100" i="8"/>
  <c r="C44" i="4" s="1"/>
  <c r="C92" i="8"/>
  <c r="C42" i="4" s="1"/>
  <c r="D51" i="8"/>
  <c r="E71" i="8"/>
  <c r="F34" i="8"/>
  <c r="F40" i="8" s="1"/>
  <c r="E21" i="8"/>
  <c r="D48" i="4"/>
  <c r="H29" i="8"/>
  <c r="H28" i="8"/>
  <c r="F22" i="8"/>
  <c r="F25" i="8" s="1"/>
  <c r="H21" i="8"/>
  <c r="H31" i="8"/>
  <c r="H23" i="8"/>
  <c r="H22" i="8"/>
  <c r="E56" i="8"/>
  <c r="E58" i="8"/>
  <c r="E64" i="8"/>
  <c r="E65" i="8"/>
  <c r="E55" i="8"/>
  <c r="E59" i="8"/>
  <c r="E60" i="8"/>
  <c r="E61" i="8"/>
  <c r="E66" i="8"/>
  <c r="E67" i="8"/>
  <c r="E68" i="8"/>
  <c r="E70" i="8"/>
  <c r="E54" i="8"/>
  <c r="E43" i="8"/>
  <c r="E31" i="8"/>
  <c r="E32" i="8"/>
  <c r="E34" i="8"/>
  <c r="E35" i="8"/>
  <c r="E30" i="8"/>
  <c r="E20" i="8"/>
  <c r="E22" i="8"/>
  <c r="E23" i="8"/>
  <c r="E90" i="8"/>
  <c r="E92" i="8" s="1"/>
  <c r="E103" i="8"/>
  <c r="H103" i="8"/>
  <c r="D46" i="4"/>
  <c r="C25" i="8"/>
  <c r="C32" i="4" s="1"/>
  <c r="D22" i="4"/>
  <c r="D28" i="4" s="1"/>
  <c r="C22" i="4"/>
  <c r="C28" i="4" s="1"/>
  <c r="H104" i="8"/>
  <c r="G106" i="8"/>
  <c r="H97" i="8"/>
  <c r="F95" i="8"/>
  <c r="F100" i="8" s="1"/>
  <c r="D44" i="4" s="1"/>
  <c r="F78" i="8"/>
  <c r="H78" i="8" s="1"/>
  <c r="H87" i="8" s="1"/>
  <c r="F87" i="8"/>
  <c r="D40" i="4" s="1"/>
  <c r="C48" i="4"/>
  <c r="C40" i="4"/>
  <c r="E111" i="8"/>
  <c r="E104" i="8"/>
  <c r="D106" i="8"/>
  <c r="E96" i="8"/>
  <c r="E97" i="8"/>
  <c r="E98" i="8"/>
  <c r="E95" i="8"/>
  <c r="D100" i="8"/>
  <c r="D92" i="8"/>
  <c r="D87" i="8"/>
  <c r="E78" i="8"/>
  <c r="E87" i="8" s="1"/>
  <c r="G92" i="8"/>
  <c r="H96" i="8"/>
  <c r="G87" i="8"/>
  <c r="H43" i="8"/>
  <c r="H30" i="8"/>
  <c r="E106" i="8" l="1"/>
  <c r="G51" i="8"/>
  <c r="F75" i="8"/>
  <c r="D38" i="4" s="1"/>
  <c r="D32" i="4"/>
  <c r="H25" i="8"/>
  <c r="G100" i="8"/>
  <c r="H34" i="8"/>
  <c r="H95" i="8"/>
  <c r="H100" i="8" s="1"/>
  <c r="E100" i="8"/>
  <c r="H106" i="8"/>
  <c r="H56" i="8"/>
  <c r="H75" i="8" s="1"/>
  <c r="H48" i="8"/>
  <c r="H51" i="8" s="1"/>
  <c r="D34" i="4"/>
  <c r="G75" i="8"/>
  <c r="E25" i="8"/>
  <c r="D113" i="8"/>
  <c r="E51" i="8"/>
  <c r="H40" i="8"/>
  <c r="E75" i="8"/>
  <c r="C50" i="4"/>
  <c r="C51" i="4" s="1"/>
  <c r="C56" i="4" s="1"/>
  <c r="C113" i="8"/>
  <c r="E40" i="8"/>
  <c r="F113" i="8" l="1"/>
  <c r="G113" i="8"/>
  <c r="H113" i="8"/>
  <c r="E113" i="8"/>
  <c r="D50" i="4" l="1"/>
  <c r="B4" i="11" s="1"/>
  <c r="C4" i="11" s="1"/>
  <c r="D51" i="4" l="1"/>
  <c r="D56" i="4" s="1"/>
</calcChain>
</file>

<file path=xl/sharedStrings.xml><?xml version="1.0" encoding="utf-8"?>
<sst xmlns="http://schemas.openxmlformats.org/spreadsheetml/2006/main" count="171" uniqueCount="141">
  <si>
    <t>Total</t>
  </si>
  <si>
    <t>Expenditure</t>
  </si>
  <si>
    <t>Sources of Fund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</si>
  <si>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</si>
  <si>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</si>
  <si>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</si>
  <si>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</si>
  <si>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</si>
  <si>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</si>
  <si>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</si>
  <si>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</si>
  <si>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</si>
  <si>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</si>
  <si>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</si>
  <si>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</si>
  <si>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Sub Total</t>
  </si>
  <si>
    <t>Explanation of</t>
  </si>
  <si>
    <t xml:space="preserve">PAD /Life of </t>
  </si>
  <si>
    <t>Cummulative for</t>
  </si>
  <si>
    <t xml:space="preserve">Cummulative for  </t>
  </si>
  <si>
    <t>Statement of Sources and Uses of Funds</t>
  </si>
  <si>
    <t>AFRICA HIGHER EDUCATION CENTERS OF EXCELLENCE PROJECT (126974)</t>
  </si>
  <si>
    <t>World Bank IDA Funds</t>
  </si>
  <si>
    <t>Uses of Funds (Breakdown)</t>
  </si>
  <si>
    <t xml:space="preserve">Grand Total Uses of Funds 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</si>
  <si>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</si>
  <si>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</si>
  <si>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</si>
  <si>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</si>
  <si>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</si>
  <si>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</si>
  <si>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NOTES ANNEX</t>
  </si>
  <si>
    <t xml:space="preserve">Less:  ACE Expenditure </t>
  </si>
  <si>
    <t>Government Funds</t>
  </si>
  <si>
    <t>1.0 Set-up Institutional Framework for Commencement of Ace</t>
  </si>
  <si>
    <t xml:space="preserve">   1.2 Governance Framework in Place </t>
  </si>
  <si>
    <t xml:space="preserve">   1.1  Negotiate and sign funding contract</t>
  </si>
  <si>
    <t xml:space="preserve">   1.4 Collect, Collate and Analyse Data for M&amp;E </t>
  </si>
  <si>
    <t xml:space="preserve">   1.5 Schedule and Hold ACE M&amp;E Meetings</t>
  </si>
  <si>
    <t xml:space="preserve">   1.3 Schedule Hold ACE Implementation Meetings </t>
  </si>
  <si>
    <t>(USD)</t>
  </si>
  <si>
    <t>2.0 Strengthen Education Capacity</t>
  </si>
  <si>
    <t>3.0 Strengthen Education Capacity &amp; Development Impact</t>
  </si>
  <si>
    <t xml:space="preserve">    3.1 Broaden students' knowledge through exposure to advanced institutions </t>
  </si>
  <si>
    <t>4.0 Strengthen research capacity (excellence)</t>
  </si>
  <si>
    <t>5.0 Strengthen  education and research capacity (financial sustainability)</t>
  </si>
  <si>
    <t xml:space="preserve">6.0 Strengthen  education and research capacity </t>
  </si>
  <si>
    <t xml:space="preserve">    6.1 Provide and maintain academic infrastructure/T &amp; R facilities </t>
  </si>
  <si>
    <t xml:space="preserve">7.0 Adhere to best Financial Management Practices </t>
  </si>
  <si>
    <t xml:space="preserve">    7.1 Prepare and submit annual financial reports</t>
  </si>
  <si>
    <t xml:space="preserve">    7.2 Ensure transparency in financial management (web-access to reports) </t>
  </si>
  <si>
    <t>8.0 Undertake best procurement practices</t>
  </si>
  <si>
    <t xml:space="preserve">    8.1 Undertake third-party procurement processes verification</t>
  </si>
  <si>
    <t xml:space="preserve">    8.1 Ensure timeliness of procurement process</t>
  </si>
  <si>
    <t>Contingency</t>
  </si>
  <si>
    <t>1.0 - Set-up Institutional Framework for Commencement of  ACE</t>
  </si>
  <si>
    <t>2.0 - Strengthen Education Capacity</t>
  </si>
  <si>
    <t>3.0 - Strengthen Education Capacity &amp; Development Impact</t>
  </si>
  <si>
    <t>4.0 - Strengthen Research Capacity (Excellence)</t>
  </si>
  <si>
    <t>5.0 - Strengthen Education &amp; Research Capacity (Fin. Sustainability)</t>
  </si>
  <si>
    <t>6.0 - Strengthen Education &amp; Research Capacity</t>
  </si>
  <si>
    <t>7.0 - Adhere to Best Financial Management Practices</t>
  </si>
  <si>
    <t>8.0 - Undertake Best Procurement Practices</t>
  </si>
  <si>
    <t>9.0 - Contingency</t>
  </si>
  <si>
    <t>AFRICA CENTER OF EXCELLENCE FOR TRAINING SEED SCIENTISTS &amp; TECHNOLOGISTS</t>
  </si>
  <si>
    <t>Note 1</t>
  </si>
  <si>
    <t>Note 2</t>
  </si>
  <si>
    <t>Note 3</t>
  </si>
  <si>
    <t>4 Years</t>
  </si>
  <si>
    <t>Prof. Eric Danquah</t>
  </si>
  <si>
    <t>(Centre Leader)</t>
  </si>
  <si>
    <t>Signed by:</t>
  </si>
  <si>
    <t xml:space="preserve">                                  Professor Eric Danquah</t>
  </si>
  <si>
    <t>Signed by:………………………</t>
  </si>
  <si>
    <t xml:space="preserve">    5.1 Raise revenue from external sources (full cost fees payment - Sponsors &amp; Donors)</t>
  </si>
  <si>
    <t xml:space="preserve">    5.2 Raise revenue from external sources (commercialization and tech. marketing)</t>
  </si>
  <si>
    <t xml:space="preserve">    5.3 Raise revenue from external sources (short term training)</t>
  </si>
  <si>
    <t xml:space="preserve">    5.4 Raise revenue from external sources (consultancy services)</t>
  </si>
  <si>
    <t xml:space="preserve">    5.5 Raise revenue from external sources (fees from greenhouse facilities &amp; labs)</t>
  </si>
  <si>
    <t xml:space="preserve">    5.6 Raise revenue from external sources (rent from facilities hiring)</t>
  </si>
  <si>
    <t xml:space="preserve">    5.7 Raise revenue from external sources (endowment funds establishment)</t>
  </si>
  <si>
    <t xml:space="preserve">    5.8 Raise revenue from external sources (contract research overheads)</t>
  </si>
  <si>
    <t xml:space="preserve">    7.3 Ensure internal &amp; external audit oversight</t>
  </si>
  <si>
    <t xml:space="preserve">    7.4 Ensure complete retirement of funds advanced for students' research</t>
  </si>
  <si>
    <t xml:space="preserve">    2.1 Develop Mphil SST curicullum</t>
  </si>
  <si>
    <t xml:space="preserve">    2.3 Admit Quality Students into PhD Programme</t>
  </si>
  <si>
    <t xml:space="preserve">    2.4 Admit Quality Students into Mphil SST Programme</t>
  </si>
  <si>
    <t xml:space="preserve">    2.5 Register Continuing Students</t>
  </si>
  <si>
    <t xml:space="preserve">    2.6 Offer required taught courses to first year PhD and Mphil SST students</t>
  </si>
  <si>
    <t xml:space="preserve">    2.7 Organise training workshops and serminars for students' learning</t>
  </si>
  <si>
    <t xml:space="preserve">    2.8 Attract, retain and retool faculty in ACE relevant areas</t>
  </si>
  <si>
    <t>Others (Exchange Gain)</t>
  </si>
  <si>
    <t xml:space="preserve">    4.16 Vehicle Running Costs</t>
  </si>
  <si>
    <t xml:space="preserve">    4.17 Office Furniture &amp; Fittings</t>
  </si>
  <si>
    <t xml:space="preserve">    4.7 Seed Science Laboratory Equipment</t>
  </si>
  <si>
    <t xml:space="preserve">    4.8 Bioinformatics Equipment &amp; Accessories</t>
  </si>
  <si>
    <t xml:space="preserve">    4.9 Conference/Meeting room Equipment</t>
  </si>
  <si>
    <t xml:space="preserve">    4.10 Tissue Culture/Cold room Equipment &amp; Accessories</t>
  </si>
  <si>
    <t xml:space="preserve">    4.11 33-seator bus students' travel </t>
  </si>
  <si>
    <t xml:space="preserve">    4.13 Network Equipment &amp; Accessories</t>
  </si>
  <si>
    <t xml:space="preserve">    4.14 Computers and Accessories</t>
  </si>
  <si>
    <t xml:space="preserve">    4.15 General Office Consumables</t>
  </si>
  <si>
    <t xml:space="preserve">    4.15 Lecture Room Equipment &amp; Accessories</t>
  </si>
  <si>
    <t xml:space="preserve">    4.2 New Lecture Rooms, Seed Science Laboratory and Bioinformatics Platform </t>
  </si>
  <si>
    <t xml:space="preserve">    4.1 WACCI model farm upgrade</t>
  </si>
  <si>
    <t xml:space="preserve">    4.3 Students' supervisory committees and research supervision</t>
  </si>
  <si>
    <t xml:space="preserve">    4.4 4 X 4 cross country SUV for research supervision</t>
  </si>
  <si>
    <t xml:space="preserve">    4.5 Peer-reviewed journals and publication</t>
  </si>
  <si>
    <t xml:space="preserve">    4.6 Students' research </t>
  </si>
  <si>
    <t xml:space="preserve">    2.9 Students Stipends</t>
  </si>
  <si>
    <t xml:space="preserve">    2.10 Students Laptops &amp; External Drives</t>
  </si>
  <si>
    <t xml:space="preserve">    2.11 Students Book Allowance</t>
  </si>
  <si>
    <t xml:space="preserve">    4.18 Students' Accommodation</t>
  </si>
  <si>
    <t xml:space="preserve">    4.19 Medical Insurance &amp; Aid</t>
  </si>
  <si>
    <t xml:space="preserve">    2.2 Obtain programme accreditation</t>
  </si>
  <si>
    <t xml:space="preserve">    4.12 Accounting database and maintenance</t>
  </si>
  <si>
    <t xml:space="preserve">    3.2 Engage the NARs in Africa and CG Centres for students' research</t>
  </si>
  <si>
    <t xml:space="preserve">    3.3 Engage Seed Companies for students' internship</t>
  </si>
  <si>
    <t xml:space="preserve">    3.4 Engage partners from advanced institutions for teaching and learning</t>
  </si>
  <si>
    <t xml:space="preserve">    3.6 ACE Workshops and Management/Staff Travel</t>
  </si>
  <si>
    <t xml:space="preserve">    3.7 Workshops/Serminars - Short Courses</t>
  </si>
  <si>
    <t>Highlights for DLR 2.8</t>
  </si>
  <si>
    <t>DLR 2.8.1 - New building construction</t>
  </si>
  <si>
    <t>DLR 2.8.2 - Laboratory equipment</t>
  </si>
  <si>
    <t>DLR 2.8.3 - WACCI farm upgrade</t>
  </si>
  <si>
    <t>DLR 2.8.4 - New building completion</t>
  </si>
  <si>
    <t xml:space="preserve"> </t>
  </si>
  <si>
    <t>AFRICA HIGHER EDUCATION CENTERS OF EXCELLENCE PROJECT</t>
  </si>
  <si>
    <t>Centre Leader:…………………………</t>
  </si>
  <si>
    <t>Desription</t>
  </si>
  <si>
    <t>Amount (USD)</t>
  </si>
  <si>
    <t>% of Award (USD)</t>
  </si>
  <si>
    <t>Grant Budget (Award)</t>
  </si>
  <si>
    <t xml:space="preserve">Cumulative Disbursement </t>
  </si>
  <si>
    <t xml:space="preserve">Cumulative Expenditure </t>
  </si>
  <si>
    <t>Financial Year End December 2019</t>
  </si>
  <si>
    <t xml:space="preserve">    3.5 Engage LCIC in Ghana to scale up the maize hybrid commercialization</t>
  </si>
  <si>
    <t>Gain/Loss on Revaluation</t>
  </si>
  <si>
    <t>Opening Cash Balance 01.01.2019</t>
  </si>
  <si>
    <t>Semi-Annual Period ending December 2019</t>
  </si>
  <si>
    <t>for the semi-annual period ending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</si>
</sst>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9" fillId="0" borderId="0"/>
    <xf numFmtId="9" fontId="1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0" fontId="0" fillId="2" borderId="3" xfId="0" applyFill="1" applyBorder="1"/>
    <xf numFmtId="0" fontId="0" fillId="2" borderId="5" xfId="0" applyFill="1" applyBorder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2" borderId="11" xfId="0" applyFont="1" applyFill="1" applyBorder="1"/>
    <xf numFmtId="0" fontId="0" fillId="0" borderId="15" xfId="0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6" fillId="0" borderId="2" xfId="0" applyFont="1" applyBorder="1"/>
    <xf numFmtId="0" fontId="1" fillId="0" borderId="3" xfId="0" applyFont="1" applyBorder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6" xfId="0" applyFont="1" applyBorder="1"/>
    <xf numFmtId="43" fontId="0" fillId="0" borderId="8" xfId="1" applyFont="1" applyBorder="1"/>
    <xf numFmtId="43" fontId="0" fillId="0" borderId="8" xfId="0" applyNumberFormat="1" applyBorder="1"/>
    <xf numFmtId="43" fontId="0" fillId="0" borderId="6" xfId="1" applyFont="1" applyBorder="1"/>
    <xf numFmtId="43" fontId="0" fillId="0" borderId="6" xfId="0" applyNumberFormat="1" applyBorder="1"/>
    <xf numFmtId="0" fontId="0" fillId="0" borderId="3" xfId="0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6" xfId="0" applyFill="1" applyBorder="1"/>
    <xf numFmtId="43" fontId="0" fillId="0" borderId="6" xfId="1" applyFont="1" applyFill="1" applyBorder="1"/>
    <xf numFmtId="43" fontId="0" fillId="0" borderId="6" xfId="0" applyNumberFormat="1" applyFill="1" applyBorder="1"/>
    <xf numFmtId="43" fontId="2" fillId="0" borderId="12" xfId="1" applyFont="1" applyBorder="1" applyAlignment="1">
      <alignment horizontal="right"/>
    </xf>
    <xf numFmtId="43" fontId="2" fillId="0" borderId="12" xfId="1" applyFont="1" applyBorder="1"/>
    <xf numFmtId="0" fontId="0" fillId="0" borderId="18" xfId="0" applyBorder="1"/>
    <xf numFmtId="0" fontId="0" fillId="0" borderId="19" xfId="0" applyBorder="1"/>
    <xf numFmtId="43" fontId="2" fillId="0" borderId="6" xfId="1" applyFont="1" applyBorder="1"/>
    <xf numFmtId="0" fontId="2" fillId="0" borderId="16" xfId="0" applyFont="1" applyBorder="1"/>
    <xf numFmtId="0" fontId="2" fillId="0" borderId="20" xfId="0" applyFont="1" applyBorder="1" applyAlignment="1">
      <alignment horizontal="left"/>
    </xf>
    <xf numFmtId="43" fontId="2" fillId="0" borderId="22" xfId="1" applyFont="1" applyBorder="1"/>
    <xf numFmtId="0" fontId="0" fillId="0" borderId="16" xfId="0" applyBorder="1"/>
    <xf numFmtId="0" fontId="2" fillId="0" borderId="2" xfId="0" applyFont="1" applyBorder="1"/>
    <xf numFmtId="43" fontId="6" fillId="0" borderId="6" xfId="1" applyFont="1" applyBorder="1"/>
    <xf numFmtId="43" fontId="2" fillId="0" borderId="7" xfId="1" applyFont="1" applyBorder="1"/>
    <xf numFmtId="43" fontId="6" fillId="0" borderId="7" xfId="1" applyFont="1" applyBorder="1"/>
    <xf numFmtId="43" fontId="0" fillId="0" borderId="16" xfId="1" applyFont="1" applyBorder="1"/>
    <xf numFmtId="43" fontId="0" fillId="0" borderId="16" xfId="0" applyNumberFormat="1" applyBorder="1"/>
    <xf numFmtId="43" fontId="2" fillId="0" borderId="2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43" fontId="0" fillId="0" borderId="6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2" fillId="0" borderId="12" xfId="0" applyNumberFormat="1" applyFont="1" applyBorder="1"/>
    <xf numFmtId="43" fontId="0" fillId="0" borderId="7" xfId="1" applyFont="1" applyBorder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43" fontId="0" fillId="0" borderId="12" xfId="0" applyNumberFormat="1" applyBorder="1"/>
    <xf numFmtId="0" fontId="1" fillId="0" borderId="15" xfId="0" applyFont="1" applyBorder="1" applyAlignment="1">
      <alignment horizontal="center"/>
    </xf>
    <xf numFmtId="0" fontId="0" fillId="0" borderId="23" xfId="0" applyBorder="1"/>
    <xf numFmtId="43" fontId="1" fillId="0" borderId="15" xfId="1" applyFont="1" applyBorder="1" applyAlignment="1">
      <alignment horizontal="center"/>
    </xf>
    <xf numFmtId="0" fontId="6" fillId="0" borderId="16" xfId="0" applyFont="1" applyBorder="1"/>
    <xf numFmtId="0" fontId="1" fillId="0" borderId="16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2" xfId="0" applyFont="1" applyBorder="1"/>
    <xf numFmtId="0" fontId="1" fillId="0" borderId="6" xfId="0" applyFont="1" applyBorder="1"/>
    <xf numFmtId="43" fontId="0" fillId="0" borderId="0" xfId="0" applyNumberFormat="1"/>
    <xf numFmtId="44" fontId="1" fillId="0" borderId="6" xfId="2" applyFont="1" applyBorder="1"/>
    <xf numFmtId="44" fontId="1" fillId="0" borderId="6" xfId="0" applyNumberFormat="1" applyFont="1" applyBorder="1"/>
    <xf numFmtId="44" fontId="0" fillId="0" borderId="6" xfId="2" applyFont="1" applyBorder="1"/>
    <xf numFmtId="0" fontId="0" fillId="0" borderId="24" xfId="0" applyBorder="1"/>
    <xf numFmtId="0" fontId="0" fillId="0" borderId="25" xfId="0" applyBorder="1"/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3"/>
    <xf numFmtId="0" fontId="1" fillId="0" borderId="0" xfId="3" applyBorder="1"/>
    <xf numFmtId="0" fontId="0" fillId="0" borderId="26" xfId="0" applyBorder="1"/>
    <xf numFmtId="0" fontId="5" fillId="0" borderId="0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27" xfId="0" applyBorder="1"/>
    <xf numFmtId="43" fontId="0" fillId="0" borderId="0" xfId="1" applyFont="1"/>
    <xf numFmtId="43" fontId="1" fillId="0" borderId="0" xfId="1"/>
    <xf numFmtId="0" fontId="0" fillId="2" borderId="6" xfId="0" applyFill="1" applyBorder="1"/>
    <xf numFmtId="0" fontId="2" fillId="0" borderId="25" xfId="0" applyFont="1" applyBorder="1"/>
    <xf numFmtId="43" fontId="1" fillId="0" borderId="0" xfId="3" applyNumberFormat="1"/>
    <xf numFmtId="43" fontId="2" fillId="0" borderId="17" xfId="1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0" fillId="0" borderId="3" xfId="1" applyFont="1" applyFill="1" applyBorder="1"/>
    <xf numFmtId="0" fontId="0" fillId="0" borderId="2" xfId="0" applyFill="1" applyBorder="1"/>
    <xf numFmtId="43" fontId="0" fillId="0" borderId="23" xfId="1" applyFont="1" applyFill="1" applyBorder="1"/>
    <xf numFmtId="43" fontId="6" fillId="0" borderId="17" xfId="1" applyFont="1" applyBorder="1"/>
    <xf numFmtId="43" fontId="0" fillId="0" borderId="17" xfId="1" applyFont="1" applyBorder="1"/>
    <xf numFmtId="0" fontId="0" fillId="0" borderId="17" xfId="0" applyBorder="1"/>
    <xf numFmtId="17" fontId="0" fillId="0" borderId="0" xfId="0" applyNumberFormat="1"/>
    <xf numFmtId="17" fontId="1" fillId="0" borderId="0" xfId="0" applyNumberFormat="1" applyFont="1"/>
    <xf numFmtId="43" fontId="0" fillId="0" borderId="2" xfId="0" applyNumberFormat="1" applyFill="1" applyBorder="1"/>
    <xf numFmtId="43" fontId="2" fillId="0" borderId="6" xfId="0" applyNumberFormat="1" applyFont="1" applyBorder="1"/>
    <xf numFmtId="43" fontId="2" fillId="0" borderId="6" xfId="1" applyFont="1" applyFill="1" applyBorder="1"/>
    <xf numFmtId="43" fontId="0" fillId="0" borderId="7" xfId="1" applyFont="1" applyFill="1" applyBorder="1"/>
    <xf numFmtId="0" fontId="0" fillId="0" borderId="7" xfId="0" applyFill="1" applyBorder="1"/>
    <xf numFmtId="0" fontId="0" fillId="0" borderId="27" xfId="0" applyFill="1" applyBorder="1"/>
    <xf numFmtId="43" fontId="1" fillId="0" borderId="6" xfId="1" applyFont="1" applyFill="1" applyBorder="1"/>
    <xf numFmtId="43" fontId="6" fillId="0" borderId="6" xfId="1" applyFont="1" applyFill="1" applyBorder="1"/>
    <xf numFmtId="43" fontId="0" fillId="0" borderId="8" xfId="1" applyFont="1" applyFill="1" applyBorder="1"/>
    <xf numFmtId="43" fontId="0" fillId="0" borderId="8" xfId="0" applyNumberFormat="1" applyFill="1" applyBorder="1"/>
    <xf numFmtId="43" fontId="2" fillId="0" borderId="12" xfId="1" applyFont="1" applyFill="1" applyBorder="1"/>
    <xf numFmtId="43" fontId="2" fillId="0" borderId="12" xfId="0" applyNumberFormat="1" applyFont="1" applyFill="1" applyBorder="1"/>
    <xf numFmtId="43" fontId="2" fillId="0" borderId="6" xfId="0" applyNumberFormat="1" applyFont="1" applyFill="1" applyBorder="1"/>
    <xf numFmtId="43" fontId="1" fillId="0" borderId="7" xfId="1" applyFont="1" applyFill="1" applyBorder="1"/>
    <xf numFmtId="0" fontId="10" fillId="0" borderId="16" xfId="0" applyFont="1" applyBorder="1"/>
    <xf numFmtId="0" fontId="10" fillId="2" borderId="3" xfId="0" applyFont="1" applyFill="1" applyBorder="1"/>
    <xf numFmtId="0" fontId="10" fillId="0" borderId="3" xfId="0" applyFont="1" applyFill="1" applyBorder="1"/>
    <xf numFmtId="43" fontId="1" fillId="0" borderId="6" xfId="0" applyNumberFormat="1" applyFont="1" applyFill="1" applyBorder="1"/>
    <xf numFmtId="43" fontId="1" fillId="0" borderId="8" xfId="1" applyFont="1" applyFill="1" applyBorder="1"/>
    <xf numFmtId="0" fontId="0" fillId="0" borderId="17" xfId="0" applyFill="1" applyBorder="1"/>
    <xf numFmtId="0" fontId="1" fillId="0" borderId="0" xfId="0" applyFont="1"/>
    <xf numFmtId="0" fontId="0" fillId="4" borderId="6" xfId="0" applyFill="1" applyBorder="1" applyAlignment="1">
      <alignment vertical="center"/>
    </xf>
    <xf numFmtId="9" fontId="0" fillId="0" borderId="6" xfId="0" applyNumberFormat="1" applyBorder="1" applyAlignment="1">
      <alignment horizontal="center"/>
    </xf>
    <xf numFmtId="9" fontId="0" fillId="0" borderId="6" xfId="5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8" xfId="0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65"/>
  <sheetViews>
    <sheetView tabSelected="1" zoomScaleNormal="100" workbookViewId="0">
      <selection activeCell="G40" sqref="G40"/>
    </sheetView>
  </sheetViews>
  <sheetFormatPr defaultRowHeight="12.75" x14ac:dyDescent="0.2"/>
  <cols>
    <col min="2" max="2" width="59.85546875" customWidth="1"/>
    <col min="3" max="3" width="22.5703125" customWidth="1"/>
    <col min="4" max="4" width="27" customWidth="1"/>
    <col min="6" max="6" width="12.85546875" bestFit="1" customWidth="1"/>
  </cols>
  <sheetData>
    <row r="3" spans="2:5" ht="15.75" x14ac:dyDescent="0.25">
      <c r="B3" s="24"/>
      <c r="C3" s="4"/>
      <c r="D3" s="4"/>
    </row>
    <row r="4" spans="2:5" ht="15.75" x14ac:dyDescent="0.25">
      <c r="B4" s="24"/>
      <c r="C4" s="4"/>
      <c r="D4" s="4"/>
    </row>
    <row r="5" spans="2:5" x14ac:dyDescent="0.2">
      <c r="B5" s="39"/>
      <c r="C5" s="40"/>
      <c r="D5" s="41"/>
    </row>
    <row r="6" spans="2:5" x14ac:dyDescent="0.2">
      <c r="B6" s="149"/>
      <c r="C6" s="150"/>
      <c r="D6" s="151"/>
    </row>
    <row r="7" spans="2:5" x14ac:dyDescent="0.2">
      <c r="B7" s="149" t="s">
        <v>64</v>
      </c>
      <c r="C7" s="150"/>
      <c r="D7" s="151"/>
    </row>
    <row r="8" spans="2:5" ht="15" x14ac:dyDescent="0.25">
      <c r="B8" s="155" t="s">
        <v>21</v>
      </c>
      <c r="C8" s="156"/>
      <c r="D8" s="157"/>
    </row>
    <row r="9" spans="2:5" x14ac:dyDescent="0.2">
      <c r="B9" s="149" t="s">
        <v>20</v>
      </c>
      <c r="C9" s="150"/>
      <c r="D9" s="151"/>
    </row>
    <row r="10" spans="2:5" x14ac:dyDescent="0.2">
      <c r="B10" s="152" t="s">
        <v>140</v>
      </c>
      <c r="C10" s="153"/>
      <c r="D10" s="154"/>
    </row>
    <row r="12" spans="2:5" x14ac:dyDescent="0.2">
      <c r="B12" s="2"/>
      <c r="C12" s="2"/>
      <c r="D12" s="42"/>
      <c r="E12" s="1"/>
    </row>
    <row r="13" spans="2:5" x14ac:dyDescent="0.2">
      <c r="B13" s="6"/>
      <c r="C13" s="6"/>
      <c r="D13" s="43" t="s">
        <v>19</v>
      </c>
      <c r="E13" s="1"/>
    </row>
    <row r="14" spans="2:5" ht="25.5" x14ac:dyDescent="0.2">
      <c r="B14" s="26" t="s">
        <v>2</v>
      </c>
      <c r="C14" s="75" t="s">
        <v>139</v>
      </c>
      <c r="D14" s="105" t="s">
        <v>135</v>
      </c>
      <c r="E14" s="1"/>
    </row>
    <row r="15" spans="2:5" x14ac:dyDescent="0.2">
      <c r="B15" s="21"/>
      <c r="C15" s="21"/>
      <c r="D15" s="44"/>
      <c r="E15" s="1"/>
    </row>
    <row r="16" spans="2:5" x14ac:dyDescent="0.2">
      <c r="B16" s="16"/>
      <c r="C16" s="16"/>
      <c r="D16" s="12"/>
    </row>
    <row r="17" spans="2:6" x14ac:dyDescent="0.2">
      <c r="B17" s="25" t="s">
        <v>138</v>
      </c>
      <c r="C17" s="48">
        <v>277753</v>
      </c>
      <c r="D17" s="12"/>
    </row>
    <row r="18" spans="2:6" x14ac:dyDescent="0.2">
      <c r="B18" s="3"/>
      <c r="C18" s="9"/>
      <c r="D18" s="9"/>
    </row>
    <row r="19" spans="2:6" x14ac:dyDescent="0.2">
      <c r="B19" s="34" t="s">
        <v>33</v>
      </c>
      <c r="C19" s="50">
        <v>0</v>
      </c>
      <c r="D19" s="50">
        <v>0</v>
      </c>
    </row>
    <row r="20" spans="2:6" x14ac:dyDescent="0.2">
      <c r="B20" s="3" t="s">
        <v>22</v>
      </c>
      <c r="C20" s="79">
        <v>0</v>
      </c>
      <c r="D20" s="79">
        <v>0</v>
      </c>
    </row>
    <row r="21" spans="2:6" ht="13.5" thickBot="1" x14ac:dyDescent="0.25">
      <c r="B21" s="3" t="s">
        <v>9</v>
      </c>
      <c r="C21" s="79" t="s">
        <v>126</v>
      </c>
      <c r="D21" s="79">
        <v>0</v>
      </c>
    </row>
    <row r="22" spans="2:6" ht="13.5" thickBot="1" x14ac:dyDescent="0.25">
      <c r="B22" s="91" t="s">
        <v>0</v>
      </c>
      <c r="C22" s="58">
        <f>SUM(C17:C21)</f>
        <v>277753</v>
      </c>
      <c r="D22" s="58">
        <f>SUM(D17:D21)</f>
        <v>0</v>
      </c>
    </row>
    <row r="23" spans="2:6" x14ac:dyDescent="0.2">
      <c r="B23" s="17"/>
      <c r="C23" s="18"/>
      <c r="D23" s="18"/>
    </row>
    <row r="24" spans="2:6" x14ac:dyDescent="0.2">
      <c r="B24" s="25" t="s">
        <v>3</v>
      </c>
      <c r="C24" s="9"/>
      <c r="D24" s="9"/>
    </row>
    <row r="25" spans="2:6" x14ac:dyDescent="0.2">
      <c r="B25" s="34" t="s">
        <v>33</v>
      </c>
      <c r="C25" s="50">
        <v>0</v>
      </c>
      <c r="D25" s="50">
        <f>286016.95+322878.23</f>
        <v>608895.17999999993</v>
      </c>
    </row>
    <row r="26" spans="2:6" x14ac:dyDescent="0.2">
      <c r="B26" s="3" t="s">
        <v>22</v>
      </c>
      <c r="C26" s="50">
        <v>351658.18</v>
      </c>
      <c r="D26" s="50">
        <f>1728863+303923+1400000+1100000+300000+500000+365618.38+550000+351658.18</f>
        <v>6600062.5599999996</v>
      </c>
    </row>
    <row r="27" spans="2:6" ht="13.5" thickBot="1" x14ac:dyDescent="0.25">
      <c r="B27" s="74" t="s">
        <v>91</v>
      </c>
      <c r="C27" s="79">
        <v>0</v>
      </c>
      <c r="D27" s="79">
        <f>1170</f>
        <v>1170</v>
      </c>
      <c r="F27" s="107"/>
    </row>
    <row r="28" spans="2:6" ht="13.5" thickBot="1" x14ac:dyDescent="0.25">
      <c r="B28" s="91" t="s">
        <v>4</v>
      </c>
      <c r="C28" s="78">
        <f>SUM(C22:C27)</f>
        <v>629411.17999999993</v>
      </c>
      <c r="D28" s="83">
        <f>SUM(D22:D27)</f>
        <v>7210127.7399999993</v>
      </c>
      <c r="F28" s="93"/>
    </row>
    <row r="29" spans="2:6" x14ac:dyDescent="0.2">
      <c r="B29" s="30"/>
      <c r="C29" s="18"/>
      <c r="D29" s="18"/>
    </row>
    <row r="30" spans="2:6" x14ac:dyDescent="0.2">
      <c r="B30" s="25" t="s">
        <v>32</v>
      </c>
      <c r="C30" s="9"/>
      <c r="D30" s="9"/>
      <c r="F30" s="93"/>
    </row>
    <row r="31" spans="2:6" x14ac:dyDescent="0.2">
      <c r="B31" s="3"/>
      <c r="C31" s="9"/>
      <c r="D31" s="9"/>
      <c r="F31" s="93"/>
    </row>
    <row r="32" spans="2:6" x14ac:dyDescent="0.2">
      <c r="B32" s="74" t="s">
        <v>55</v>
      </c>
      <c r="C32" s="51">
        <f>'uses of fund by component'!C25</f>
        <v>618.95000000000005</v>
      </c>
      <c r="D32" s="50">
        <f>'uses of fund by component'!F25</f>
        <v>6725.7</v>
      </c>
    </row>
    <row r="33" spans="2:4" x14ac:dyDescent="0.2">
      <c r="B33" s="34"/>
      <c r="C33" s="9"/>
      <c r="D33" s="50"/>
    </row>
    <row r="34" spans="2:4" x14ac:dyDescent="0.2">
      <c r="B34" s="74" t="s">
        <v>56</v>
      </c>
      <c r="C34" s="51">
        <f>'uses of fund by component'!C40</f>
        <v>143321.99</v>
      </c>
      <c r="D34" s="50">
        <f>'uses of fund by component'!F40</f>
        <v>1001109.28</v>
      </c>
    </row>
    <row r="35" spans="2:4" x14ac:dyDescent="0.2">
      <c r="B35" s="87"/>
      <c r="C35" s="10"/>
      <c r="D35" s="50"/>
    </row>
    <row r="36" spans="2:4" x14ac:dyDescent="0.2">
      <c r="B36" s="88" t="s">
        <v>57</v>
      </c>
      <c r="C36" s="76">
        <f>'uses of fund by component'!C51</f>
        <v>96301.24</v>
      </c>
      <c r="D36" s="50">
        <f>'uses of fund by component'!F51</f>
        <v>798959.31</v>
      </c>
    </row>
    <row r="37" spans="2:4" x14ac:dyDescent="0.2">
      <c r="B37" s="87"/>
      <c r="C37" s="10"/>
      <c r="D37" s="50"/>
    </row>
    <row r="38" spans="2:4" x14ac:dyDescent="0.2">
      <c r="B38" s="88" t="s">
        <v>58</v>
      </c>
      <c r="C38" s="76">
        <f>'uses of fund by component'!C75</f>
        <v>253337.09000000003</v>
      </c>
      <c r="D38" s="50">
        <f>'uses of fund by component'!F75</f>
        <v>4974271.5100000016</v>
      </c>
    </row>
    <row r="39" spans="2:4" x14ac:dyDescent="0.2">
      <c r="B39" s="87"/>
      <c r="C39" s="10"/>
      <c r="D39" s="9"/>
    </row>
    <row r="40" spans="2:4" x14ac:dyDescent="0.2">
      <c r="B40" s="88" t="s">
        <v>59</v>
      </c>
      <c r="C40" s="76">
        <f>'uses of fund by component'!C87</f>
        <v>0</v>
      </c>
      <c r="D40" s="50">
        <f>'uses of fund by component'!F87</f>
        <v>0</v>
      </c>
    </row>
    <row r="41" spans="2:4" x14ac:dyDescent="0.2">
      <c r="B41" s="87"/>
      <c r="C41" s="10"/>
      <c r="D41" s="9"/>
    </row>
    <row r="42" spans="2:4" x14ac:dyDescent="0.2">
      <c r="B42" s="88" t="s">
        <v>60</v>
      </c>
      <c r="C42" s="76">
        <f>'uses of fund by component'!C92</f>
        <v>169238.42</v>
      </c>
      <c r="D42" s="50">
        <f>'uses of fund by component'!F92</f>
        <v>201128.54</v>
      </c>
    </row>
    <row r="43" spans="2:4" x14ac:dyDescent="0.2">
      <c r="B43" s="88"/>
      <c r="C43" s="10"/>
      <c r="D43" s="9"/>
    </row>
    <row r="44" spans="2:4" x14ac:dyDescent="0.2">
      <c r="B44" s="88" t="s">
        <v>61</v>
      </c>
      <c r="C44" s="76">
        <f>'uses of fund by component'!C100</f>
        <v>4746.8500000000004</v>
      </c>
      <c r="D44" s="50">
        <f>'uses of fund by component'!F100</f>
        <v>41254.07</v>
      </c>
    </row>
    <row r="45" spans="2:4" x14ac:dyDescent="0.2">
      <c r="B45" s="88"/>
      <c r="C45" s="10"/>
      <c r="D45" s="9"/>
    </row>
    <row r="46" spans="2:4" x14ac:dyDescent="0.2">
      <c r="B46" s="88" t="s">
        <v>62</v>
      </c>
      <c r="C46" s="76">
        <f>'uses of fund by component'!C106</f>
        <v>10025.200000000001</v>
      </c>
      <c r="D46" s="50">
        <f>'uses of fund by component'!F106</f>
        <v>13464.98</v>
      </c>
    </row>
    <row r="47" spans="2:4" x14ac:dyDescent="0.2">
      <c r="B47" s="88"/>
      <c r="C47" s="10"/>
      <c r="D47" s="9"/>
    </row>
    <row r="48" spans="2:4" ht="13.5" thickBot="1" x14ac:dyDescent="0.25">
      <c r="B48" s="88" t="s">
        <v>63</v>
      </c>
      <c r="C48" s="77">
        <f>'uses of fund by component'!C111</f>
        <v>1864.31</v>
      </c>
      <c r="D48" s="71">
        <f>'uses of fund by component'!F111</f>
        <v>21005.45</v>
      </c>
    </row>
    <row r="49" spans="2:4" ht="13.5" thickBot="1" x14ac:dyDescent="0.25">
      <c r="B49" s="89"/>
      <c r="C49" s="27"/>
      <c r="D49" s="27"/>
    </row>
    <row r="50" spans="2:4" ht="13.5" thickBot="1" x14ac:dyDescent="0.25">
      <c r="B50" s="90" t="s">
        <v>14</v>
      </c>
      <c r="C50" s="78">
        <f>SUM(C32:C48)</f>
        <v>679454.05</v>
      </c>
      <c r="D50" s="83">
        <f>'uses of fund by component'!F113</f>
        <v>7014975.5700000031</v>
      </c>
    </row>
    <row r="51" spans="2:4" ht="13.5" thickBot="1" x14ac:dyDescent="0.25">
      <c r="B51" s="91" t="s">
        <v>13</v>
      </c>
      <c r="C51" s="78">
        <f>C28-C50</f>
        <v>-50042.870000000112</v>
      </c>
      <c r="D51" s="83">
        <f>D28-D50</f>
        <v>195152.1699999962</v>
      </c>
    </row>
    <row r="52" spans="2:4" x14ac:dyDescent="0.2">
      <c r="B52" s="9"/>
      <c r="C52" s="9"/>
      <c r="D52" s="97"/>
    </row>
    <row r="53" spans="2:4" x14ac:dyDescent="0.2">
      <c r="B53" s="34" t="s">
        <v>33</v>
      </c>
      <c r="C53" s="9"/>
      <c r="D53" s="9"/>
    </row>
    <row r="54" spans="2:4" x14ac:dyDescent="0.2">
      <c r="B54" s="3" t="s">
        <v>22</v>
      </c>
      <c r="C54" s="9"/>
      <c r="D54" s="9"/>
    </row>
    <row r="55" spans="2:4" ht="13.5" thickBot="1" x14ac:dyDescent="0.25">
      <c r="B55" s="3" t="s">
        <v>9</v>
      </c>
      <c r="C55" s="9"/>
      <c r="D55" s="85"/>
    </row>
    <row r="56" spans="2:4" ht="13.5" thickBot="1" x14ac:dyDescent="0.25">
      <c r="B56" s="110" t="s">
        <v>5</v>
      </c>
      <c r="C56" s="78">
        <f>C51</f>
        <v>-50042.870000000112</v>
      </c>
      <c r="D56" s="83">
        <f>D51</f>
        <v>195152.1699999962</v>
      </c>
    </row>
    <row r="57" spans="2:4" x14ac:dyDescent="0.2">
      <c r="B57" s="9"/>
      <c r="C57" s="5"/>
      <c r="D57" s="98"/>
    </row>
    <row r="58" spans="2:4" x14ac:dyDescent="0.2">
      <c r="B58" s="109"/>
      <c r="C58" s="19"/>
      <c r="D58" s="19"/>
    </row>
    <row r="60" spans="2:4" x14ac:dyDescent="0.2">
      <c r="C60" s="107"/>
      <c r="D60" s="93"/>
    </row>
    <row r="61" spans="2:4" x14ac:dyDescent="0.2">
      <c r="C61" s="107"/>
      <c r="D61" s="107"/>
    </row>
    <row r="62" spans="2:4" x14ac:dyDescent="0.2">
      <c r="C62" s="107"/>
      <c r="D62" s="107"/>
    </row>
    <row r="63" spans="2:4" x14ac:dyDescent="0.2">
      <c r="B63" s="101" t="s">
        <v>71</v>
      </c>
      <c r="C63" s="108"/>
      <c r="D63" s="107"/>
    </row>
    <row r="64" spans="2:4" x14ac:dyDescent="0.2">
      <c r="B64" s="101" t="s">
        <v>128</v>
      </c>
      <c r="C64" s="111"/>
      <c r="D64" s="93"/>
    </row>
    <row r="65" spans="2:3" x14ac:dyDescent="0.2">
      <c r="B65" s="102" t="s">
        <v>72</v>
      </c>
      <c r="C65" s="102"/>
    </row>
  </sheetData>
  <mergeCells count="5">
    <mergeCell ref="B6:D6"/>
    <mergeCell ref="B7:D7"/>
    <mergeCell ref="B9:D9"/>
    <mergeCell ref="B10:D10"/>
    <mergeCell ref="B8:D8"/>
  </mergeCells>
  <phoneticPr fontId="0" type="noConversion"/>
  <pageMargins left="0.57999999999999996" right="0.47" top="0.63" bottom="0.66" header="0.31" footer="0.38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35"/>
  <sheetViews>
    <sheetView zoomScaleNormal="100" workbookViewId="0">
      <selection activeCell="G62" sqref="G62"/>
    </sheetView>
  </sheetViews>
  <sheetFormatPr defaultRowHeight="12.75" x14ac:dyDescent="0.2"/>
  <cols>
    <col min="2" max="2" width="70.28515625" customWidth="1"/>
    <col min="3" max="3" width="13.42578125" customWidth="1"/>
    <col min="4" max="4" width="12.85546875" bestFit="1" customWidth="1"/>
    <col min="5" max="5" width="13.28515625" customWidth="1"/>
    <col min="6" max="6" width="12.85546875" bestFit="1" customWidth="1"/>
    <col min="7" max="7" width="16.85546875" bestFit="1" customWidth="1"/>
    <col min="8" max="8" width="12.85546875" bestFit="1" customWidth="1"/>
    <col min="9" max="9" width="17.7109375" bestFit="1" customWidth="1"/>
    <col min="10" max="10" width="10.85546875" bestFit="1" customWidth="1"/>
  </cols>
  <sheetData>
    <row r="4" spans="1:11" x14ac:dyDescent="0.2">
      <c r="A4" s="32"/>
      <c r="B4" s="150" t="s">
        <v>64</v>
      </c>
      <c r="C4" s="150"/>
      <c r="D4" s="150"/>
      <c r="E4" s="150"/>
      <c r="F4" s="150"/>
      <c r="G4" s="150"/>
      <c r="H4" s="150"/>
      <c r="I4" s="150"/>
      <c r="J4" s="150"/>
      <c r="K4" s="81"/>
    </row>
    <row r="5" spans="1:11" x14ac:dyDescent="0.2">
      <c r="B5" s="80"/>
      <c r="C5" s="80"/>
      <c r="D5" s="80"/>
      <c r="E5" s="80"/>
      <c r="F5" s="80"/>
      <c r="G5" s="80"/>
      <c r="H5" s="80"/>
      <c r="I5" s="80"/>
      <c r="J5" s="80"/>
    </row>
    <row r="6" spans="1:11" ht="15" x14ac:dyDescent="0.25">
      <c r="B6" s="163" t="s">
        <v>127</v>
      </c>
      <c r="C6" s="163"/>
      <c r="D6" s="163"/>
      <c r="E6" s="163"/>
      <c r="F6" s="163"/>
      <c r="G6" s="163"/>
      <c r="H6" s="163"/>
      <c r="I6" s="163"/>
      <c r="J6" s="163"/>
    </row>
    <row r="7" spans="1:11" x14ac:dyDescent="0.2">
      <c r="B7" s="162" t="s">
        <v>23</v>
      </c>
      <c r="C7" s="162"/>
      <c r="D7" s="162"/>
      <c r="E7" s="162"/>
      <c r="F7" s="162"/>
      <c r="G7" s="162"/>
      <c r="H7" s="162"/>
      <c r="I7" s="162"/>
      <c r="J7" s="162"/>
    </row>
    <row r="8" spans="1:11" x14ac:dyDescent="0.2">
      <c r="B8" s="162" t="s">
        <v>140</v>
      </c>
      <c r="C8" s="162"/>
      <c r="D8" s="162"/>
      <c r="E8" s="162"/>
      <c r="F8" s="162"/>
      <c r="G8" s="162"/>
      <c r="H8" s="162"/>
      <c r="I8" s="162"/>
      <c r="J8" s="162"/>
    </row>
    <row r="10" spans="1:11" x14ac:dyDescent="0.2">
      <c r="F10" s="36" t="s">
        <v>40</v>
      </c>
      <c r="J10" s="20"/>
    </row>
    <row r="12" spans="1:11" x14ac:dyDescent="0.2">
      <c r="B12" s="2"/>
      <c r="C12" s="2"/>
      <c r="D12" s="13"/>
      <c r="E12" s="14"/>
      <c r="F12" s="2"/>
      <c r="G12" s="13"/>
      <c r="H12" s="14"/>
      <c r="I12" s="14"/>
      <c r="J12" s="14"/>
      <c r="K12" s="14"/>
    </row>
    <row r="13" spans="1:11" x14ac:dyDescent="0.2">
      <c r="B13" s="6"/>
      <c r="C13" s="158"/>
      <c r="D13" s="159"/>
      <c r="E13" s="160"/>
      <c r="F13" s="158"/>
      <c r="G13" s="159"/>
      <c r="H13" s="160"/>
      <c r="I13" s="15"/>
      <c r="J13" s="15"/>
      <c r="K13" s="15"/>
    </row>
    <row r="14" spans="1:11" x14ac:dyDescent="0.2">
      <c r="B14" s="26" t="s">
        <v>1</v>
      </c>
      <c r="C14" s="161" t="s">
        <v>139</v>
      </c>
      <c r="D14" s="159"/>
      <c r="E14" s="160"/>
      <c r="F14" s="158" t="s">
        <v>18</v>
      </c>
      <c r="G14" s="159"/>
      <c r="H14" s="160"/>
      <c r="I14" s="15" t="s">
        <v>16</v>
      </c>
      <c r="J14" s="15" t="s">
        <v>17</v>
      </c>
      <c r="K14" s="15" t="s">
        <v>11</v>
      </c>
    </row>
    <row r="15" spans="1:11" x14ac:dyDescent="0.2">
      <c r="B15" s="21"/>
      <c r="C15" s="21"/>
      <c r="D15" s="22"/>
      <c r="E15" s="23"/>
      <c r="F15" s="37"/>
      <c r="G15" s="38" t="s">
        <v>135</v>
      </c>
      <c r="H15" s="23"/>
      <c r="I15" s="35" t="s">
        <v>8</v>
      </c>
      <c r="J15" s="35" t="s">
        <v>10</v>
      </c>
      <c r="K15" s="35" t="s">
        <v>12</v>
      </c>
    </row>
    <row r="16" spans="1:11" x14ac:dyDescent="0.2">
      <c r="B16" s="16"/>
      <c r="C16" s="16" t="s">
        <v>6</v>
      </c>
      <c r="D16" s="7" t="s">
        <v>7</v>
      </c>
      <c r="E16" s="8" t="s">
        <v>8</v>
      </c>
      <c r="F16" s="16" t="s">
        <v>6</v>
      </c>
      <c r="G16" s="7" t="s">
        <v>7</v>
      </c>
      <c r="H16" s="8" t="s">
        <v>8</v>
      </c>
      <c r="I16" s="8"/>
      <c r="J16" s="8"/>
      <c r="K16" s="8"/>
    </row>
    <row r="17" spans="2:11" x14ac:dyDescent="0.2">
      <c r="B17" s="25" t="s">
        <v>34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">
      <c r="B18" s="33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">
      <c r="B19" s="3" t="s">
        <v>36</v>
      </c>
      <c r="C19" s="148"/>
      <c r="D19" s="148"/>
      <c r="E19" s="148"/>
      <c r="F19" s="131">
        <v>0</v>
      </c>
      <c r="G19" s="48">
        <v>500</v>
      </c>
      <c r="H19" s="12"/>
      <c r="I19" s="12"/>
      <c r="J19" s="12"/>
      <c r="K19" s="12"/>
    </row>
    <row r="20" spans="2:11" x14ac:dyDescent="0.2">
      <c r="B20" s="3" t="s">
        <v>35</v>
      </c>
      <c r="C20" s="141">
        <v>0</v>
      </c>
      <c r="D20" s="131">
        <v>0</v>
      </c>
      <c r="E20" s="132">
        <f>D20-C20</f>
        <v>0</v>
      </c>
      <c r="F20" s="131">
        <v>0</v>
      </c>
      <c r="G20" s="48">
        <f>1000</f>
        <v>1000</v>
      </c>
      <c r="H20" s="12"/>
      <c r="I20" s="12"/>
      <c r="J20" s="12"/>
      <c r="K20" s="12"/>
    </row>
    <row r="21" spans="2:11" x14ac:dyDescent="0.2">
      <c r="B21" s="3" t="s">
        <v>39</v>
      </c>
      <c r="C21" s="141">
        <f>556.62+62.33</f>
        <v>618.95000000000005</v>
      </c>
      <c r="D21" s="131">
        <v>1000</v>
      </c>
      <c r="E21" s="132">
        <f>D21-C21</f>
        <v>381.04999999999995</v>
      </c>
      <c r="F21" s="141">
        <f>6178.36+547.34</f>
        <v>6725.7</v>
      </c>
      <c r="G21" s="132">
        <f>7500+1500</f>
        <v>9000</v>
      </c>
      <c r="H21" s="49">
        <f>G21-F21</f>
        <v>2274.3000000000002</v>
      </c>
      <c r="I21" s="12"/>
      <c r="J21" s="12"/>
      <c r="K21" s="12"/>
    </row>
    <row r="22" spans="2:11" x14ac:dyDescent="0.2">
      <c r="B22" s="3" t="s">
        <v>37</v>
      </c>
      <c r="C22" s="131">
        <v>0</v>
      </c>
      <c r="D22" s="131">
        <v>250</v>
      </c>
      <c r="E22" s="132">
        <f t="shared" ref="E22:E23" si="0">D22-C22</f>
        <v>250</v>
      </c>
      <c r="F22" s="141">
        <f t="shared" ref="F22" si="1">C22</f>
        <v>0</v>
      </c>
      <c r="G22" s="132">
        <f>1000+500</f>
        <v>1500</v>
      </c>
      <c r="H22" s="49">
        <f t="shared" ref="H22:H23" si="2">G22-F22</f>
        <v>1500</v>
      </c>
      <c r="I22" s="12"/>
      <c r="J22" s="12"/>
      <c r="K22" s="12"/>
    </row>
    <row r="23" spans="2:11" x14ac:dyDescent="0.2">
      <c r="B23" s="3" t="s">
        <v>38</v>
      </c>
      <c r="C23" s="131">
        <v>0</v>
      </c>
      <c r="D23" s="131">
        <v>250</v>
      </c>
      <c r="E23" s="132">
        <f t="shared" si="0"/>
        <v>250</v>
      </c>
      <c r="F23" s="141">
        <v>0</v>
      </c>
      <c r="G23" s="49">
        <f>75000</f>
        <v>75000</v>
      </c>
      <c r="H23" s="49">
        <f t="shared" si="2"/>
        <v>75000</v>
      </c>
      <c r="I23" s="12"/>
      <c r="J23" s="12"/>
      <c r="K23" s="12"/>
    </row>
    <row r="24" spans="2:11" ht="13.5" thickBot="1" x14ac:dyDescent="0.25">
      <c r="B24" s="33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3.5" thickBot="1" x14ac:dyDescent="0.25">
      <c r="B25" s="29" t="s">
        <v>15</v>
      </c>
      <c r="C25" s="58">
        <f>SUM(C19:C23)</f>
        <v>618.95000000000005</v>
      </c>
      <c r="D25" s="58">
        <f t="shared" ref="D25:H25" si="3">SUM(D19:D23)</f>
        <v>1500</v>
      </c>
      <c r="E25" s="58">
        <f t="shared" si="3"/>
        <v>881.05</v>
      </c>
      <c r="F25" s="58">
        <f t="shared" si="3"/>
        <v>6725.7</v>
      </c>
      <c r="G25" s="58">
        <f t="shared" si="3"/>
        <v>87000</v>
      </c>
      <c r="H25" s="58">
        <f t="shared" si="3"/>
        <v>78774.3</v>
      </c>
      <c r="I25" s="84" t="s">
        <v>65</v>
      </c>
      <c r="J25" s="100" t="s">
        <v>68</v>
      </c>
      <c r="K25" s="28"/>
    </row>
    <row r="26" spans="2:1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2">
      <c r="B27" s="25" t="s">
        <v>41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x14ac:dyDescent="0.2">
      <c r="B28" s="74" t="s">
        <v>84</v>
      </c>
      <c r="C28" s="56">
        <v>2000</v>
      </c>
      <c r="D28" s="56"/>
      <c r="E28" s="57">
        <f>D28-C28</f>
        <v>-2000</v>
      </c>
      <c r="F28" s="56">
        <v>2000</v>
      </c>
      <c r="G28" s="50">
        <v>9525</v>
      </c>
      <c r="H28" s="50">
        <f t="shared" ref="H28:H38" si="4">G28-F28</f>
        <v>7525</v>
      </c>
      <c r="I28" s="9"/>
      <c r="J28" s="9"/>
      <c r="K28" s="9"/>
    </row>
    <row r="29" spans="2:11" x14ac:dyDescent="0.2">
      <c r="B29" s="74" t="s">
        <v>114</v>
      </c>
      <c r="C29" s="129">
        <v>0</v>
      </c>
      <c r="D29" s="56">
        <v>0</v>
      </c>
      <c r="E29" s="57">
        <f>D29-C29</f>
        <v>0</v>
      </c>
      <c r="F29" s="129">
        <v>50711.040000000001</v>
      </c>
      <c r="G29" s="50">
        <v>50000</v>
      </c>
      <c r="H29" s="50">
        <f>G29-F29</f>
        <v>-711.04000000000087</v>
      </c>
      <c r="I29" s="9"/>
      <c r="J29" s="9"/>
      <c r="K29" s="9"/>
    </row>
    <row r="30" spans="2:11" x14ac:dyDescent="0.2">
      <c r="B30" s="74" t="s">
        <v>85</v>
      </c>
      <c r="C30" s="129">
        <v>65007.59</v>
      </c>
      <c r="D30" s="56">
        <v>67000</v>
      </c>
      <c r="E30" s="57">
        <f>D30-C30</f>
        <v>1992.4100000000035</v>
      </c>
      <c r="F30" s="129">
        <v>456562.25</v>
      </c>
      <c r="G30" s="56">
        <f>158384+38661+111700+158990</f>
        <v>467735</v>
      </c>
      <c r="H30" s="50">
        <f t="shared" si="4"/>
        <v>11172.75</v>
      </c>
      <c r="I30" s="9"/>
      <c r="J30" s="9"/>
      <c r="K30" s="9"/>
    </row>
    <row r="31" spans="2:11" x14ac:dyDescent="0.2">
      <c r="B31" s="74" t="s">
        <v>86</v>
      </c>
      <c r="C31" s="129">
        <v>26620.17</v>
      </c>
      <c r="D31" s="56">
        <v>44500</v>
      </c>
      <c r="E31" s="57">
        <f t="shared" ref="E31:E36" si="5">D31-C31</f>
        <v>17879.830000000002</v>
      </c>
      <c r="F31" s="129">
        <v>267499.43</v>
      </c>
      <c r="G31" s="56">
        <f>225000+122930</f>
        <v>347930</v>
      </c>
      <c r="H31" s="50">
        <f t="shared" si="4"/>
        <v>80430.570000000007</v>
      </c>
      <c r="I31" s="9"/>
      <c r="J31" s="9"/>
      <c r="K31" s="9"/>
    </row>
    <row r="32" spans="2:11" x14ac:dyDescent="0.2">
      <c r="B32" s="74" t="s">
        <v>87</v>
      </c>
      <c r="C32" s="129">
        <v>0</v>
      </c>
      <c r="D32" s="56">
        <v>60000</v>
      </c>
      <c r="E32" s="57">
        <f t="shared" si="5"/>
        <v>60000</v>
      </c>
      <c r="F32" s="129">
        <v>0</v>
      </c>
      <c r="G32" s="56">
        <f>31478+91272</f>
        <v>122750</v>
      </c>
      <c r="H32" s="50">
        <f t="shared" si="4"/>
        <v>122750</v>
      </c>
      <c r="I32" s="9"/>
      <c r="J32" s="9"/>
      <c r="K32" s="9"/>
    </row>
    <row r="33" spans="2:11" x14ac:dyDescent="0.2">
      <c r="B33" s="74" t="s">
        <v>88</v>
      </c>
      <c r="C33" s="129">
        <f>23943+4977.98</f>
        <v>28920.98</v>
      </c>
      <c r="D33" s="56">
        <v>34500</v>
      </c>
      <c r="E33" s="57">
        <f t="shared" si="5"/>
        <v>5579.02</v>
      </c>
      <c r="F33" s="129">
        <f>97584.66+40356.14</f>
        <v>137940.79999999999</v>
      </c>
      <c r="G33" s="56">
        <f>35100+35100+22000+65000</f>
        <v>157200</v>
      </c>
      <c r="H33" s="50">
        <f t="shared" si="4"/>
        <v>19259.200000000012</v>
      </c>
      <c r="I33" s="9"/>
      <c r="J33" s="9"/>
      <c r="K33" s="9"/>
    </row>
    <row r="34" spans="2:11" x14ac:dyDescent="0.2">
      <c r="B34" s="74" t="s">
        <v>89</v>
      </c>
      <c r="C34" s="129">
        <v>0</v>
      </c>
      <c r="D34" s="56">
        <v>20000</v>
      </c>
      <c r="E34" s="57">
        <f t="shared" si="5"/>
        <v>20000</v>
      </c>
      <c r="F34" s="129">
        <f>C34</f>
        <v>0</v>
      </c>
      <c r="G34" s="56">
        <f>33240+33240+33240+33240</f>
        <v>132960</v>
      </c>
      <c r="H34" s="50">
        <f t="shared" si="4"/>
        <v>132960</v>
      </c>
      <c r="I34" s="9"/>
      <c r="J34" s="9"/>
      <c r="K34" s="9"/>
    </row>
    <row r="35" spans="2:11" x14ac:dyDescent="0.2">
      <c r="B35" s="74" t="s">
        <v>90</v>
      </c>
      <c r="C35" s="129">
        <v>17798.25</v>
      </c>
      <c r="D35" s="56">
        <v>32500</v>
      </c>
      <c r="E35" s="57">
        <f t="shared" si="5"/>
        <v>14701.75</v>
      </c>
      <c r="F35" s="129">
        <v>43358.76</v>
      </c>
      <c r="G35" s="56">
        <f>87000+23500+23500+35000+47000</f>
        <v>216000</v>
      </c>
      <c r="H35" s="50">
        <f>G35-F35</f>
        <v>172641.24</v>
      </c>
      <c r="I35" s="9"/>
      <c r="J35" s="9"/>
      <c r="K35" s="9"/>
    </row>
    <row r="36" spans="2:11" x14ac:dyDescent="0.2">
      <c r="B36" s="74" t="s">
        <v>109</v>
      </c>
      <c r="C36" s="136">
        <v>2975</v>
      </c>
      <c r="D36" s="56">
        <v>0</v>
      </c>
      <c r="E36" s="57">
        <f t="shared" si="5"/>
        <v>-2975</v>
      </c>
      <c r="F36" s="129">
        <v>39437</v>
      </c>
      <c r="G36" s="50">
        <v>24000</v>
      </c>
      <c r="H36" s="50">
        <f t="shared" si="4"/>
        <v>-15437</v>
      </c>
      <c r="I36" s="51"/>
      <c r="J36" s="9"/>
      <c r="K36" s="11"/>
    </row>
    <row r="37" spans="2:11" x14ac:dyDescent="0.2">
      <c r="B37" s="74" t="s">
        <v>110</v>
      </c>
      <c r="C37" s="136">
        <v>0</v>
      </c>
      <c r="D37" s="56"/>
      <c r="E37" s="57"/>
      <c r="F37" s="129">
        <v>3000</v>
      </c>
      <c r="G37" s="50">
        <v>3000</v>
      </c>
      <c r="H37" s="50">
        <f>G37-F37</f>
        <v>0</v>
      </c>
      <c r="I37" s="51"/>
      <c r="J37" s="9"/>
      <c r="K37" s="11"/>
    </row>
    <row r="38" spans="2:11" x14ac:dyDescent="0.2">
      <c r="B38" s="74" t="s">
        <v>111</v>
      </c>
      <c r="C38" s="126">
        <v>0</v>
      </c>
      <c r="D38" s="56"/>
      <c r="E38" s="57"/>
      <c r="F38" s="129">
        <v>600</v>
      </c>
      <c r="G38" s="50">
        <v>600</v>
      </c>
      <c r="H38" s="50">
        <f t="shared" si="4"/>
        <v>0</v>
      </c>
      <c r="I38" s="51"/>
      <c r="J38" s="9"/>
      <c r="K38" s="11"/>
    </row>
    <row r="39" spans="2:11" ht="13.5" thickBot="1" x14ac:dyDescent="0.25">
      <c r="B39" s="3"/>
      <c r="C39" s="11"/>
      <c r="D39" s="71"/>
      <c r="E39" s="72"/>
      <c r="F39" s="137"/>
      <c r="G39" s="66"/>
      <c r="H39" s="66"/>
      <c r="I39" s="66"/>
      <c r="J39" s="66"/>
      <c r="K39" s="85"/>
    </row>
    <row r="40" spans="2:11" ht="13.5" thickBot="1" x14ac:dyDescent="0.25">
      <c r="B40" s="29" t="s">
        <v>15</v>
      </c>
      <c r="C40" s="58">
        <f>SUM(C28:C39)</f>
        <v>143321.99</v>
      </c>
      <c r="D40" s="58">
        <f t="shared" ref="D40:H40" si="6">SUM(D28:D39)</f>
        <v>258500</v>
      </c>
      <c r="E40" s="58">
        <f t="shared" si="6"/>
        <v>115178.01000000001</v>
      </c>
      <c r="F40" s="58">
        <f t="shared" si="6"/>
        <v>1001109.28</v>
      </c>
      <c r="G40" s="58">
        <f t="shared" si="6"/>
        <v>1531700</v>
      </c>
      <c r="H40" s="58">
        <f t="shared" si="6"/>
        <v>530590.71999999997</v>
      </c>
      <c r="I40" s="86" t="s">
        <v>66</v>
      </c>
      <c r="J40" s="100" t="s">
        <v>68</v>
      </c>
      <c r="K40" s="61"/>
    </row>
    <row r="41" spans="2:11" x14ac:dyDescent="0.2">
      <c r="B41" s="30"/>
      <c r="C41" s="18"/>
      <c r="D41" s="18"/>
      <c r="E41" s="18"/>
      <c r="F41" s="138"/>
      <c r="G41" s="18"/>
      <c r="H41" s="18"/>
      <c r="I41" s="18"/>
      <c r="J41" s="18"/>
      <c r="K41" s="18"/>
    </row>
    <row r="42" spans="2:11" x14ac:dyDescent="0.2">
      <c r="B42" s="25" t="s">
        <v>42</v>
      </c>
      <c r="C42" s="54"/>
      <c r="D42" s="52"/>
      <c r="E42" s="52"/>
      <c r="F42" s="139"/>
      <c r="G42" s="52"/>
      <c r="H42" s="52"/>
      <c r="I42" s="53"/>
      <c r="J42" s="55"/>
      <c r="K42" s="55"/>
    </row>
    <row r="43" spans="2:11" x14ac:dyDescent="0.2">
      <c r="B43" s="3" t="s">
        <v>43</v>
      </c>
      <c r="C43" s="56">
        <v>0</v>
      </c>
      <c r="D43" s="56">
        <v>40000</v>
      </c>
      <c r="E43" s="57">
        <f>D43-C43</f>
        <v>40000</v>
      </c>
      <c r="F43" s="140">
        <f>6064.72+1346.39</f>
        <v>7411.1100000000006</v>
      </c>
      <c r="G43" s="57">
        <f>126000+36000+36000+133500</f>
        <v>331500</v>
      </c>
      <c r="H43" s="57">
        <f t="shared" ref="H43:H48" si="7">G43-F43</f>
        <v>324088.89</v>
      </c>
      <c r="I43" s="55"/>
      <c r="J43" s="55"/>
      <c r="K43" s="55"/>
    </row>
    <row r="44" spans="2:11" x14ac:dyDescent="0.2">
      <c r="B44" s="3" t="s">
        <v>116</v>
      </c>
      <c r="C44" s="129">
        <v>0</v>
      </c>
      <c r="D44" s="56">
        <v>40000</v>
      </c>
      <c r="E44" s="57">
        <f t="shared" ref="E44:E49" si="8">D44-C44</f>
        <v>40000</v>
      </c>
      <c r="F44" s="140">
        <v>0</v>
      </c>
      <c r="G44" s="57">
        <v>363320</v>
      </c>
      <c r="H44" s="57">
        <f t="shared" si="7"/>
        <v>363320</v>
      </c>
      <c r="I44" s="55"/>
      <c r="J44" s="55"/>
      <c r="K44" s="55"/>
    </row>
    <row r="45" spans="2:11" x14ac:dyDescent="0.2">
      <c r="B45" s="3" t="s">
        <v>117</v>
      </c>
      <c r="C45" s="129">
        <v>0</v>
      </c>
      <c r="D45" s="56">
        <v>25000</v>
      </c>
      <c r="E45" s="57">
        <f t="shared" si="8"/>
        <v>25000</v>
      </c>
      <c r="F45" s="129">
        <v>0</v>
      </c>
      <c r="G45" s="57">
        <v>67200</v>
      </c>
      <c r="H45" s="57">
        <f t="shared" si="7"/>
        <v>67200</v>
      </c>
      <c r="I45" s="55"/>
      <c r="J45" s="55"/>
      <c r="K45" s="55"/>
    </row>
    <row r="46" spans="2:11" x14ac:dyDescent="0.2">
      <c r="B46" s="3" t="s">
        <v>118</v>
      </c>
      <c r="C46" s="136">
        <v>46299.78</v>
      </c>
      <c r="D46" s="56">
        <v>60000</v>
      </c>
      <c r="E46" s="57">
        <f t="shared" si="8"/>
        <v>13700.220000000001</v>
      </c>
      <c r="F46" s="129">
        <v>193222.28</v>
      </c>
      <c r="G46" s="57">
        <v>122000</v>
      </c>
      <c r="H46" s="57">
        <f t="shared" si="7"/>
        <v>-71222.28</v>
      </c>
      <c r="I46" s="128"/>
      <c r="J46" s="55"/>
      <c r="K46" s="127"/>
    </row>
    <row r="47" spans="2:11" x14ac:dyDescent="0.2">
      <c r="B47" s="3" t="s">
        <v>136</v>
      </c>
      <c r="C47" s="136"/>
      <c r="D47" s="56">
        <v>100000</v>
      </c>
      <c r="E47" s="57">
        <f t="shared" si="8"/>
        <v>100000</v>
      </c>
      <c r="F47" s="129">
        <v>0</v>
      </c>
      <c r="G47" s="57">
        <f>55000+72700</f>
        <v>127700</v>
      </c>
      <c r="H47" s="57">
        <f t="shared" si="7"/>
        <v>127700</v>
      </c>
      <c r="I47" s="55"/>
      <c r="J47" s="55"/>
      <c r="K47" s="55"/>
    </row>
    <row r="48" spans="2:11" x14ac:dyDescent="0.2">
      <c r="B48" s="3" t="s">
        <v>119</v>
      </c>
      <c r="C48" s="136">
        <v>17877.97</v>
      </c>
      <c r="D48" s="56">
        <v>25000</v>
      </c>
      <c r="E48" s="57">
        <f t="shared" si="8"/>
        <v>7122.0299999999988</v>
      </c>
      <c r="F48" s="129">
        <v>137282.29</v>
      </c>
      <c r="G48" s="57">
        <f>55000+72700</f>
        <v>127700</v>
      </c>
      <c r="H48" s="57">
        <f t="shared" si="7"/>
        <v>-9582.2900000000081</v>
      </c>
      <c r="I48" s="55"/>
      <c r="J48" s="55"/>
      <c r="K48" s="55"/>
    </row>
    <row r="49" spans="2:11" x14ac:dyDescent="0.2">
      <c r="B49" s="3" t="s">
        <v>120</v>
      </c>
      <c r="C49" s="136">
        <v>32123.49</v>
      </c>
      <c r="D49" s="56">
        <v>55000</v>
      </c>
      <c r="E49" s="57">
        <f t="shared" si="8"/>
        <v>22876.51</v>
      </c>
      <c r="F49" s="129">
        <v>461043.63</v>
      </c>
      <c r="G49" s="57">
        <v>420000</v>
      </c>
      <c r="H49" s="57">
        <f t="shared" ref="H49" si="9">G49-F49</f>
        <v>-41043.630000000005</v>
      </c>
      <c r="I49" s="55"/>
      <c r="J49" s="55"/>
      <c r="K49" s="55"/>
    </row>
    <row r="50" spans="2:11" ht="13.5" thickBot="1" x14ac:dyDescent="0.25">
      <c r="B50" s="4"/>
      <c r="C50" s="117"/>
      <c r="D50" s="115"/>
      <c r="E50" s="52"/>
      <c r="F50" s="54"/>
      <c r="G50" s="54"/>
      <c r="H50" s="54"/>
      <c r="I50" s="123"/>
      <c r="J50" s="116"/>
      <c r="K50" s="142"/>
    </row>
    <row r="51" spans="2:11" ht="13.5" thickBot="1" x14ac:dyDescent="0.25">
      <c r="B51" s="29" t="s">
        <v>15</v>
      </c>
      <c r="C51" s="65">
        <f>SUM(C43:C49)</f>
        <v>96301.24</v>
      </c>
      <c r="D51" s="65">
        <f>SUM(D43:D50)</f>
        <v>345000</v>
      </c>
      <c r="E51" s="65">
        <f t="shared" ref="E51:H51" si="10">SUM(E43:E50)</f>
        <v>248698.76</v>
      </c>
      <c r="F51" s="65">
        <f t="shared" si="10"/>
        <v>798959.31</v>
      </c>
      <c r="G51" s="65">
        <f t="shared" si="10"/>
        <v>1559420</v>
      </c>
      <c r="H51" s="65">
        <f t="shared" si="10"/>
        <v>760460.69</v>
      </c>
      <c r="I51" s="84" t="s">
        <v>66</v>
      </c>
      <c r="J51" s="100" t="s">
        <v>68</v>
      </c>
      <c r="K51" s="28"/>
    </row>
    <row r="52" spans="2:1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x14ac:dyDescent="0.2">
      <c r="B53" s="25" t="s">
        <v>44</v>
      </c>
      <c r="C53" s="125"/>
      <c r="D53" s="62"/>
      <c r="E53" s="62"/>
      <c r="F53" s="9"/>
      <c r="G53" s="9"/>
      <c r="H53" s="9"/>
      <c r="I53" s="9"/>
      <c r="J53" s="9"/>
      <c r="K53" s="9"/>
    </row>
    <row r="54" spans="2:11" x14ac:dyDescent="0.2">
      <c r="B54" s="74" t="s">
        <v>104</v>
      </c>
      <c r="C54" s="129">
        <v>26255.99</v>
      </c>
      <c r="D54" s="130">
        <v>50000</v>
      </c>
      <c r="E54" s="130">
        <f>D54-C54</f>
        <v>23744.01</v>
      </c>
      <c r="F54" s="140">
        <v>501263.87</v>
      </c>
      <c r="G54" s="57">
        <v>450000</v>
      </c>
      <c r="H54" s="51">
        <f>G54-F54</f>
        <v>-51263.869999999995</v>
      </c>
      <c r="I54" s="51"/>
      <c r="J54" s="9"/>
      <c r="K54" s="9"/>
    </row>
    <row r="55" spans="2:11" x14ac:dyDescent="0.2">
      <c r="B55" s="74" t="s">
        <v>103</v>
      </c>
      <c r="C55" s="129">
        <v>22434.880000000001</v>
      </c>
      <c r="D55" s="130">
        <v>225000</v>
      </c>
      <c r="E55" s="130">
        <f t="shared" ref="E55:E73" si="11">D55-C55</f>
        <v>202565.12</v>
      </c>
      <c r="F55" s="140">
        <v>2345414.9</v>
      </c>
      <c r="G55" s="57">
        <v>2000000</v>
      </c>
      <c r="H55" s="51">
        <f>G55-F55</f>
        <v>-345414.89999999991</v>
      </c>
      <c r="I55" s="51"/>
      <c r="J55" s="9"/>
      <c r="K55" s="9"/>
    </row>
    <row r="56" spans="2:11" x14ac:dyDescent="0.2">
      <c r="B56" s="74" t="s">
        <v>105</v>
      </c>
      <c r="C56" s="129">
        <v>0</v>
      </c>
      <c r="D56" s="130">
        <v>1250</v>
      </c>
      <c r="E56" s="130">
        <f t="shared" si="11"/>
        <v>1250</v>
      </c>
      <c r="F56" s="140">
        <v>0</v>
      </c>
      <c r="G56" s="57">
        <f>D56+30800+30800+500</f>
        <v>63350</v>
      </c>
      <c r="H56" s="51">
        <f t="shared" ref="H56:H73" si="12">G56-F56</f>
        <v>63350</v>
      </c>
      <c r="I56" s="51"/>
      <c r="J56" s="9"/>
      <c r="K56" s="9"/>
    </row>
    <row r="57" spans="2:11" x14ac:dyDescent="0.2">
      <c r="B57" s="74" t="s">
        <v>106</v>
      </c>
      <c r="C57" s="129">
        <v>0</v>
      </c>
      <c r="D57" s="130">
        <v>0</v>
      </c>
      <c r="E57" s="130"/>
      <c r="F57" s="140">
        <v>115350.83</v>
      </c>
      <c r="G57" s="57">
        <f>D57+100042</f>
        <v>100042</v>
      </c>
      <c r="H57" s="51">
        <f t="shared" si="12"/>
        <v>-15308.830000000002</v>
      </c>
      <c r="I57" s="9"/>
      <c r="J57" s="9"/>
      <c r="K57" s="9"/>
    </row>
    <row r="58" spans="2:11" x14ac:dyDescent="0.2">
      <c r="B58" s="74" t="s">
        <v>107</v>
      </c>
      <c r="C58" s="129">
        <v>1000</v>
      </c>
      <c r="D58" s="130">
        <v>4500</v>
      </c>
      <c r="E58" s="130">
        <f t="shared" si="11"/>
        <v>3500</v>
      </c>
      <c r="F58" s="140">
        <v>2735.81</v>
      </c>
      <c r="G58" s="57">
        <f>6500+6500+6500+6500</f>
        <v>26000</v>
      </c>
      <c r="H58" s="51">
        <f t="shared" si="12"/>
        <v>23264.19</v>
      </c>
      <c r="I58" s="9"/>
      <c r="J58" s="9"/>
      <c r="K58" s="9"/>
    </row>
    <row r="59" spans="2:11" x14ac:dyDescent="0.2">
      <c r="B59" s="74" t="s">
        <v>108</v>
      </c>
      <c r="C59" s="129">
        <v>89198.26</v>
      </c>
      <c r="D59" s="130">
        <f>533312*0.4</f>
        <v>213324.80000000002</v>
      </c>
      <c r="E59" s="130">
        <f t="shared" si="11"/>
        <v>124126.54000000002</v>
      </c>
      <c r="F59" s="140">
        <v>872551.34</v>
      </c>
      <c r="G59" s="57">
        <f>232500+29500+379500+533312</f>
        <v>1174812</v>
      </c>
      <c r="H59" s="51">
        <f t="shared" si="12"/>
        <v>302260.66000000003</v>
      </c>
      <c r="I59" s="9"/>
      <c r="J59" s="9"/>
      <c r="K59" s="9"/>
    </row>
    <row r="60" spans="2:11" x14ac:dyDescent="0.2">
      <c r="B60" s="74" t="s">
        <v>94</v>
      </c>
      <c r="C60" s="129">
        <v>888.72</v>
      </c>
      <c r="D60" s="130">
        <v>0</v>
      </c>
      <c r="E60" s="130">
        <f t="shared" si="11"/>
        <v>-888.72</v>
      </c>
      <c r="F60" s="140">
        <v>232309.08</v>
      </c>
      <c r="G60" s="57">
        <v>232000</v>
      </c>
      <c r="H60" s="51">
        <f t="shared" si="12"/>
        <v>-309.07999999998719</v>
      </c>
      <c r="I60" s="9"/>
      <c r="J60" s="9"/>
      <c r="K60" s="9"/>
    </row>
    <row r="61" spans="2:11" x14ac:dyDescent="0.2">
      <c r="B61" s="74" t="s">
        <v>95</v>
      </c>
      <c r="C61" s="129">
        <v>0</v>
      </c>
      <c r="D61" s="130">
        <v>0</v>
      </c>
      <c r="E61" s="130">
        <f t="shared" si="11"/>
        <v>0</v>
      </c>
      <c r="F61" s="140">
        <v>317970.76</v>
      </c>
      <c r="G61" s="57">
        <v>295000</v>
      </c>
      <c r="H61" s="51">
        <f t="shared" si="12"/>
        <v>-22970.760000000009</v>
      </c>
      <c r="I61" s="51"/>
      <c r="J61" s="9"/>
      <c r="K61" s="9"/>
    </row>
    <row r="62" spans="2:11" x14ac:dyDescent="0.2">
      <c r="B62" s="74" t="s">
        <v>96</v>
      </c>
      <c r="C62" s="129">
        <v>0</v>
      </c>
      <c r="D62" s="130">
        <v>0</v>
      </c>
      <c r="E62" s="130">
        <f t="shared" si="11"/>
        <v>0</v>
      </c>
      <c r="F62" s="140">
        <v>0</v>
      </c>
      <c r="G62" s="57">
        <v>90000</v>
      </c>
      <c r="H62" s="51">
        <f t="shared" si="12"/>
        <v>90000</v>
      </c>
      <c r="I62" s="9"/>
      <c r="J62" s="9"/>
      <c r="K62" s="9"/>
    </row>
    <row r="63" spans="2:11" x14ac:dyDescent="0.2">
      <c r="B63" s="74" t="s">
        <v>97</v>
      </c>
      <c r="C63" s="129">
        <v>11165.41</v>
      </c>
      <c r="D63" s="130">
        <v>22000</v>
      </c>
      <c r="E63" s="130">
        <f t="shared" si="11"/>
        <v>10834.59</v>
      </c>
      <c r="F63" s="140">
        <v>0</v>
      </c>
      <c r="G63" s="57">
        <f>43835+60000</f>
        <v>103835</v>
      </c>
      <c r="H63" s="51">
        <f t="shared" si="12"/>
        <v>103835</v>
      </c>
      <c r="I63" s="9"/>
      <c r="J63" s="9"/>
      <c r="K63" s="9"/>
    </row>
    <row r="64" spans="2:11" x14ac:dyDescent="0.2">
      <c r="B64" s="74" t="s">
        <v>98</v>
      </c>
      <c r="C64" s="129">
        <v>0</v>
      </c>
      <c r="D64" s="130">
        <v>0</v>
      </c>
      <c r="E64" s="130">
        <f t="shared" si="11"/>
        <v>0</v>
      </c>
      <c r="F64" s="140">
        <v>87704.639999999999</v>
      </c>
      <c r="G64" s="57">
        <v>93042</v>
      </c>
      <c r="H64" s="51">
        <f t="shared" si="12"/>
        <v>5337.3600000000006</v>
      </c>
      <c r="I64" s="9"/>
      <c r="J64" s="9"/>
      <c r="K64" s="9"/>
    </row>
    <row r="65" spans="2:11" x14ac:dyDescent="0.2">
      <c r="B65" s="74" t="s">
        <v>115</v>
      </c>
      <c r="C65" s="129">
        <v>4977.3500000000004</v>
      </c>
      <c r="D65" s="130">
        <v>5500</v>
      </c>
      <c r="E65" s="130">
        <f t="shared" si="11"/>
        <v>522.64999999999964</v>
      </c>
      <c r="F65" s="140">
        <v>15694.03</v>
      </c>
      <c r="G65" s="57">
        <f>7500+3500</f>
        <v>11000</v>
      </c>
      <c r="H65" s="51">
        <f t="shared" si="12"/>
        <v>-4694.0300000000007</v>
      </c>
      <c r="I65" s="9"/>
      <c r="J65" s="9"/>
      <c r="K65" s="9"/>
    </row>
    <row r="66" spans="2:11" x14ac:dyDescent="0.2">
      <c r="B66" s="74" t="s">
        <v>99</v>
      </c>
      <c r="C66" s="129">
        <v>0</v>
      </c>
      <c r="D66" s="130">
        <v>0</v>
      </c>
      <c r="E66" s="130">
        <f t="shared" si="11"/>
        <v>0</v>
      </c>
      <c r="F66" s="129">
        <v>11847.11</v>
      </c>
      <c r="G66" s="57">
        <v>21000</v>
      </c>
      <c r="H66" s="51">
        <f>G66-F66</f>
        <v>9152.89</v>
      </c>
      <c r="I66" s="9"/>
      <c r="J66" s="9"/>
      <c r="K66" s="9"/>
    </row>
    <row r="67" spans="2:11" x14ac:dyDescent="0.2">
      <c r="B67" s="74" t="s">
        <v>100</v>
      </c>
      <c r="C67" s="129">
        <v>384.49</v>
      </c>
      <c r="D67" s="130">
        <v>0</v>
      </c>
      <c r="E67" s="130">
        <f t="shared" si="11"/>
        <v>-384.49</v>
      </c>
      <c r="F67" s="129">
        <v>25817.439999999999</v>
      </c>
      <c r="G67" s="57">
        <v>25000</v>
      </c>
      <c r="H67" s="51">
        <f t="shared" si="12"/>
        <v>-817.43999999999869</v>
      </c>
      <c r="I67" s="106"/>
      <c r="J67" s="106"/>
      <c r="K67" s="9"/>
    </row>
    <row r="68" spans="2:11" x14ac:dyDescent="0.2">
      <c r="B68" s="74" t="s">
        <v>101</v>
      </c>
      <c r="C68" s="129">
        <v>1739.85</v>
      </c>
      <c r="D68" s="130">
        <v>6000</v>
      </c>
      <c r="E68" s="130">
        <f t="shared" si="11"/>
        <v>4260.1499999999996</v>
      </c>
      <c r="F68" s="129">
        <v>63788.43</v>
      </c>
      <c r="G68" s="57">
        <v>55000</v>
      </c>
      <c r="H68" s="51">
        <f t="shared" si="12"/>
        <v>-8788.43</v>
      </c>
      <c r="I68" s="9"/>
      <c r="J68" s="9"/>
      <c r="K68" s="11"/>
    </row>
    <row r="69" spans="2:11" x14ac:dyDescent="0.2">
      <c r="B69" s="74" t="s">
        <v>102</v>
      </c>
      <c r="C69" s="129"/>
      <c r="D69" s="130">
        <v>0</v>
      </c>
      <c r="E69" s="130">
        <f t="shared" si="11"/>
        <v>0</v>
      </c>
      <c r="F69" s="129">
        <v>5108.7299999999996</v>
      </c>
      <c r="G69" s="57">
        <v>6500</v>
      </c>
      <c r="H69" s="51">
        <f>G69-F69</f>
        <v>1391.2700000000004</v>
      </c>
      <c r="I69" s="9"/>
      <c r="J69" s="9"/>
      <c r="K69" s="11"/>
    </row>
    <row r="70" spans="2:11" x14ac:dyDescent="0.2">
      <c r="B70" s="74" t="s">
        <v>92</v>
      </c>
      <c r="C70" s="129">
        <v>18723.53</v>
      </c>
      <c r="D70" s="130">
        <v>19000</v>
      </c>
      <c r="E70" s="130">
        <f t="shared" si="11"/>
        <v>276.47000000000116</v>
      </c>
      <c r="F70" s="129">
        <v>95779.199999999997</v>
      </c>
      <c r="G70" s="57">
        <v>96000</v>
      </c>
      <c r="H70" s="51">
        <f t="shared" si="12"/>
        <v>220.80000000000291</v>
      </c>
      <c r="I70" s="9"/>
      <c r="J70" s="9"/>
      <c r="K70" s="9"/>
    </row>
    <row r="71" spans="2:11" x14ac:dyDescent="0.2">
      <c r="B71" s="74" t="s">
        <v>93</v>
      </c>
      <c r="C71" s="129">
        <v>7704.91</v>
      </c>
      <c r="D71" s="130">
        <v>2500</v>
      </c>
      <c r="E71" s="130">
        <f t="shared" si="11"/>
        <v>-5204.91</v>
      </c>
      <c r="F71" s="56">
        <v>67117.78</v>
      </c>
      <c r="G71" s="51">
        <v>65000</v>
      </c>
      <c r="H71" s="51">
        <f t="shared" si="12"/>
        <v>-2117.7799999999988</v>
      </c>
      <c r="I71" s="106"/>
      <c r="J71" s="9"/>
      <c r="K71" s="11"/>
    </row>
    <row r="72" spans="2:11" x14ac:dyDescent="0.2">
      <c r="B72" s="74" t="s">
        <v>112</v>
      </c>
      <c r="C72" s="129">
        <v>68863.7</v>
      </c>
      <c r="D72" s="130">
        <v>0</v>
      </c>
      <c r="E72" s="130">
        <f t="shared" si="11"/>
        <v>-68863.7</v>
      </c>
      <c r="F72" s="56">
        <v>209864.58</v>
      </c>
      <c r="G72" s="51">
        <v>201000</v>
      </c>
      <c r="H72" s="51">
        <f t="shared" si="12"/>
        <v>-8864.5799999999872</v>
      </c>
      <c r="I72" s="9"/>
      <c r="J72" s="9"/>
      <c r="K72" s="11"/>
    </row>
    <row r="73" spans="2:11" x14ac:dyDescent="0.2">
      <c r="B73" s="74" t="s">
        <v>113</v>
      </c>
      <c r="C73" s="129">
        <v>0</v>
      </c>
      <c r="D73" s="130">
        <v>0</v>
      </c>
      <c r="E73" s="130">
        <f t="shared" si="11"/>
        <v>0</v>
      </c>
      <c r="F73" s="56">
        <v>3952.98</v>
      </c>
      <c r="G73" s="51">
        <v>4500</v>
      </c>
      <c r="H73" s="51">
        <f t="shared" si="12"/>
        <v>547.02</v>
      </c>
      <c r="I73" s="9"/>
      <c r="J73" s="9"/>
      <c r="K73" s="11"/>
    </row>
    <row r="74" spans="2:11" ht="13.5" thickBot="1" x14ac:dyDescent="0.25">
      <c r="C74" s="118"/>
      <c r="D74" s="118"/>
      <c r="E74" s="118"/>
      <c r="F74" s="119"/>
      <c r="G74" s="120"/>
      <c r="H74" s="120"/>
      <c r="I74" s="60"/>
      <c r="J74" s="60"/>
      <c r="K74" s="85"/>
    </row>
    <row r="75" spans="2:11" ht="13.5" thickBot="1" x14ac:dyDescent="0.25">
      <c r="B75" s="29" t="s">
        <v>15</v>
      </c>
      <c r="C75" s="112">
        <f>SUM(C54:C74)</f>
        <v>253337.09000000003</v>
      </c>
      <c r="D75" s="112">
        <f t="shared" ref="D75:H75" si="13">SUM(D54:D74)</f>
        <v>549074.80000000005</v>
      </c>
      <c r="E75" s="112">
        <f t="shared" si="13"/>
        <v>295737.7100000002</v>
      </c>
      <c r="F75" s="112">
        <f t="shared" si="13"/>
        <v>4974271.5100000016</v>
      </c>
      <c r="G75" s="112">
        <f t="shared" si="13"/>
        <v>5113081</v>
      </c>
      <c r="H75" s="112">
        <f t="shared" si="13"/>
        <v>138809.49000000014</v>
      </c>
      <c r="I75" s="113" t="s">
        <v>66</v>
      </c>
      <c r="J75" s="114" t="s">
        <v>68</v>
      </c>
      <c r="K75" s="28"/>
    </row>
    <row r="76" spans="2:11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x14ac:dyDescent="0.2">
      <c r="B77" s="25" t="s">
        <v>45</v>
      </c>
      <c r="C77" s="62"/>
      <c r="D77" s="62"/>
      <c r="E77" s="62"/>
      <c r="F77" s="9"/>
      <c r="G77" s="9"/>
      <c r="H77" s="9"/>
      <c r="I77" s="9"/>
      <c r="J77" s="9"/>
      <c r="K77" s="12"/>
    </row>
    <row r="78" spans="2:11" x14ac:dyDescent="0.2">
      <c r="B78" s="74" t="s">
        <v>74</v>
      </c>
      <c r="C78" s="62"/>
      <c r="D78" s="68">
        <v>0</v>
      </c>
      <c r="E78" s="62">
        <f>D78-C78</f>
        <v>0</v>
      </c>
      <c r="F78" s="51">
        <f>C78</f>
        <v>0</v>
      </c>
      <c r="G78" s="51">
        <f>D78</f>
        <v>0</v>
      </c>
      <c r="H78" s="51">
        <f>G78-F78</f>
        <v>0</v>
      </c>
      <c r="I78" s="9"/>
      <c r="J78" s="9"/>
      <c r="K78" s="12"/>
    </row>
    <row r="79" spans="2:11" x14ac:dyDescent="0.2">
      <c r="B79" s="74" t="s">
        <v>75</v>
      </c>
      <c r="C79" s="62"/>
      <c r="D79" s="68"/>
      <c r="E79" s="62"/>
      <c r="F79" s="51"/>
      <c r="G79" s="51">
        <f t="shared" ref="G79:G86" si="14">D79</f>
        <v>0</v>
      </c>
      <c r="H79" s="51"/>
      <c r="I79" s="9"/>
      <c r="J79" s="9"/>
      <c r="K79" s="12"/>
    </row>
    <row r="80" spans="2:11" x14ac:dyDescent="0.2">
      <c r="B80" s="74" t="s">
        <v>76</v>
      </c>
      <c r="C80" s="62"/>
      <c r="D80" s="68"/>
      <c r="E80" s="62"/>
      <c r="F80" s="51"/>
      <c r="G80" s="51">
        <f t="shared" si="14"/>
        <v>0</v>
      </c>
      <c r="H80" s="51"/>
      <c r="I80" s="9"/>
      <c r="J80" s="9"/>
      <c r="K80" s="12"/>
    </row>
    <row r="81" spans="2:11" x14ac:dyDescent="0.2">
      <c r="B81" s="74" t="s">
        <v>77</v>
      </c>
      <c r="C81" s="62"/>
      <c r="D81" s="68"/>
      <c r="E81" s="62"/>
      <c r="F81" s="51"/>
      <c r="G81" s="51">
        <f t="shared" si="14"/>
        <v>0</v>
      </c>
      <c r="H81" s="51"/>
      <c r="I81" s="9"/>
      <c r="J81" s="9"/>
      <c r="K81" s="12"/>
    </row>
    <row r="82" spans="2:11" x14ac:dyDescent="0.2">
      <c r="B82" s="74" t="s">
        <v>78</v>
      </c>
      <c r="C82" s="62"/>
      <c r="D82" s="68"/>
      <c r="E82" s="62"/>
      <c r="F82" s="51"/>
      <c r="G82" s="51">
        <f t="shared" si="14"/>
        <v>0</v>
      </c>
      <c r="H82" s="51"/>
      <c r="I82" s="9"/>
      <c r="J82" s="9"/>
      <c r="K82" s="12"/>
    </row>
    <row r="83" spans="2:11" x14ac:dyDescent="0.2">
      <c r="B83" s="74" t="s">
        <v>79</v>
      </c>
      <c r="C83" s="62"/>
      <c r="D83" s="68"/>
      <c r="E83" s="62"/>
      <c r="F83" s="51"/>
      <c r="G83" s="51">
        <f t="shared" si="14"/>
        <v>0</v>
      </c>
      <c r="H83" s="51"/>
      <c r="I83" s="9"/>
      <c r="J83" s="9"/>
      <c r="K83" s="12"/>
    </row>
    <row r="84" spans="2:11" x14ac:dyDescent="0.2">
      <c r="B84" s="74" t="s">
        <v>80</v>
      </c>
      <c r="C84" s="62"/>
      <c r="D84" s="68"/>
      <c r="E84" s="62"/>
      <c r="F84" s="51"/>
      <c r="G84" s="51">
        <f t="shared" si="14"/>
        <v>0</v>
      </c>
      <c r="H84" s="51"/>
      <c r="I84" s="9"/>
      <c r="J84" s="9"/>
      <c r="K84" s="12"/>
    </row>
    <row r="85" spans="2:11" x14ac:dyDescent="0.2">
      <c r="B85" s="74" t="s">
        <v>81</v>
      </c>
      <c r="C85" s="62"/>
      <c r="D85" s="68"/>
      <c r="E85" s="62"/>
      <c r="F85" s="51"/>
      <c r="G85" s="51">
        <f t="shared" si="14"/>
        <v>0</v>
      </c>
      <c r="H85" s="51"/>
      <c r="I85" s="9"/>
      <c r="J85" s="9"/>
      <c r="K85" s="12"/>
    </row>
    <row r="86" spans="2:11" ht="13.5" thickBot="1" x14ac:dyDescent="0.25">
      <c r="B86" s="67"/>
      <c r="C86" s="62"/>
      <c r="D86" s="62"/>
      <c r="E86" s="62"/>
      <c r="F86" s="9"/>
      <c r="G86" s="51">
        <f t="shared" si="14"/>
        <v>0</v>
      </c>
      <c r="H86" s="9"/>
      <c r="I86" s="9"/>
      <c r="J86" s="9"/>
      <c r="K86" s="12"/>
    </row>
    <row r="87" spans="2:11" ht="13.5" thickBot="1" x14ac:dyDescent="0.25">
      <c r="B87" s="29" t="s">
        <v>15</v>
      </c>
      <c r="C87" s="59">
        <f>SUM(C78:C85)</f>
        <v>0</v>
      </c>
      <c r="D87" s="59">
        <f t="shared" ref="D87:H87" si="15">SUM(D78)</f>
        <v>0</v>
      </c>
      <c r="E87" s="59">
        <f t="shared" si="15"/>
        <v>0</v>
      </c>
      <c r="F87" s="83">
        <f t="shared" si="15"/>
        <v>0</v>
      </c>
      <c r="G87" s="83">
        <f t="shared" si="15"/>
        <v>0</v>
      </c>
      <c r="H87" s="83">
        <f t="shared" si="15"/>
        <v>0</v>
      </c>
      <c r="I87" s="31"/>
      <c r="J87" s="28"/>
      <c r="K87" s="28"/>
    </row>
    <row r="88" spans="2:1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x14ac:dyDescent="0.2">
      <c r="B89" s="25" t="s">
        <v>46</v>
      </c>
      <c r="C89" s="125"/>
      <c r="D89" s="62"/>
      <c r="E89" s="62"/>
      <c r="F89" s="9"/>
      <c r="G89" s="9"/>
      <c r="H89" s="9"/>
      <c r="I89" s="9"/>
      <c r="J89" s="9"/>
      <c r="K89" s="12"/>
    </row>
    <row r="90" spans="2:11" x14ac:dyDescent="0.2">
      <c r="B90" s="34" t="s">
        <v>47</v>
      </c>
      <c r="C90" s="129">
        <v>169238.42</v>
      </c>
      <c r="D90" s="130">
        <v>7500</v>
      </c>
      <c r="E90" s="125">
        <f>D90-C90</f>
        <v>-161738.42000000001</v>
      </c>
      <c r="F90" s="140">
        <v>201128.54</v>
      </c>
      <c r="G90" s="57">
        <f>9214+13036+13036+11334.29+9500+15000</f>
        <v>71120.290000000008</v>
      </c>
      <c r="H90" s="51">
        <f>G90-F90</f>
        <v>-130008.25</v>
      </c>
      <c r="I90" s="9"/>
      <c r="J90" s="9"/>
      <c r="K90" s="9"/>
    </row>
    <row r="91" spans="2:11" ht="13.5" thickBot="1" x14ac:dyDescent="0.25">
      <c r="B91" s="34"/>
      <c r="C91" s="62"/>
      <c r="D91" s="130"/>
      <c r="E91" s="125"/>
      <c r="F91" s="55"/>
      <c r="G91" s="55"/>
      <c r="H91" s="9"/>
      <c r="I91" s="9"/>
      <c r="J91" s="9"/>
      <c r="K91" s="9"/>
    </row>
    <row r="92" spans="2:11" ht="13.5" thickBot="1" x14ac:dyDescent="0.25">
      <c r="B92" s="29" t="s">
        <v>15</v>
      </c>
      <c r="C92" s="59">
        <f>SUM(C90)</f>
        <v>169238.42</v>
      </c>
      <c r="D92" s="133">
        <f t="shared" ref="D92:H92" si="16">SUM(D90)</f>
        <v>7500</v>
      </c>
      <c r="E92" s="133">
        <f t="shared" si="16"/>
        <v>-161738.42000000001</v>
      </c>
      <c r="F92" s="134">
        <f t="shared" si="16"/>
        <v>201128.54</v>
      </c>
      <c r="G92" s="134">
        <f t="shared" si="16"/>
        <v>71120.290000000008</v>
      </c>
      <c r="H92" s="78">
        <f t="shared" si="16"/>
        <v>-130008.25</v>
      </c>
      <c r="I92" s="84" t="s">
        <v>66</v>
      </c>
      <c r="J92" s="28"/>
      <c r="K92" s="28"/>
    </row>
    <row r="93" spans="2:1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x14ac:dyDescent="0.2">
      <c r="B94" s="25" t="s">
        <v>48</v>
      </c>
      <c r="C94" s="62"/>
      <c r="D94" s="130"/>
      <c r="E94" s="125"/>
      <c r="F94" s="55"/>
      <c r="G94" s="55"/>
      <c r="H94" s="9"/>
      <c r="I94" s="9"/>
      <c r="J94" s="9"/>
      <c r="K94" s="9"/>
    </row>
    <row r="95" spans="2:11" x14ac:dyDescent="0.2">
      <c r="B95" s="34" t="s">
        <v>49</v>
      </c>
      <c r="C95" s="62"/>
      <c r="D95" s="130">
        <v>0</v>
      </c>
      <c r="E95" s="125">
        <f>D95-C95</f>
        <v>0</v>
      </c>
      <c r="F95" s="57">
        <f>C95</f>
        <v>0</v>
      </c>
      <c r="G95" s="57">
        <f>D95</f>
        <v>0</v>
      </c>
      <c r="H95" s="51">
        <f>G95-F95</f>
        <v>0</v>
      </c>
      <c r="I95" s="9"/>
      <c r="J95" s="9"/>
      <c r="K95" s="9"/>
    </row>
    <row r="96" spans="2:11" x14ac:dyDescent="0.2">
      <c r="B96" s="34" t="s">
        <v>50</v>
      </c>
      <c r="C96" s="62"/>
      <c r="D96" s="130">
        <v>0</v>
      </c>
      <c r="E96" s="125">
        <f t="shared" ref="E96:E98" si="17">D96-C96</f>
        <v>0</v>
      </c>
      <c r="F96" s="57">
        <f>C96</f>
        <v>0</v>
      </c>
      <c r="G96" s="57">
        <f t="shared" ref="G96:G98" si="18">D96</f>
        <v>0</v>
      </c>
      <c r="H96" s="51">
        <f t="shared" ref="H96:H98" si="19">G96-F96</f>
        <v>0</v>
      </c>
      <c r="I96" s="9"/>
      <c r="J96" s="9"/>
      <c r="K96" s="9"/>
    </row>
    <row r="97" spans="2:11" x14ac:dyDescent="0.2">
      <c r="B97" s="74" t="s">
        <v>82</v>
      </c>
      <c r="C97" s="129">
        <v>4746.8500000000004</v>
      </c>
      <c r="D97" s="130">
        <v>16000</v>
      </c>
      <c r="E97" s="125">
        <f t="shared" si="17"/>
        <v>11253.15</v>
      </c>
      <c r="F97" s="140">
        <f>27910.07+13344</f>
        <v>41254.07</v>
      </c>
      <c r="G97" s="57">
        <f>19000+20000+16000</f>
        <v>55000</v>
      </c>
      <c r="H97" s="51">
        <f t="shared" si="19"/>
        <v>13745.93</v>
      </c>
      <c r="I97" s="9"/>
      <c r="J97" s="9"/>
      <c r="K97" s="9"/>
    </row>
    <row r="98" spans="2:11" x14ac:dyDescent="0.2">
      <c r="B98" s="74" t="s">
        <v>83</v>
      </c>
      <c r="C98" s="62"/>
      <c r="D98" s="68">
        <v>0</v>
      </c>
      <c r="E98" s="62">
        <f t="shared" si="17"/>
        <v>0</v>
      </c>
      <c r="F98" s="57">
        <f t="shared" ref="F98" si="20">C98</f>
        <v>0</v>
      </c>
      <c r="G98" s="51">
        <f t="shared" si="18"/>
        <v>0</v>
      </c>
      <c r="H98" s="51">
        <f t="shared" si="19"/>
        <v>0</v>
      </c>
      <c r="I98" s="9"/>
      <c r="J98" s="9"/>
      <c r="K98" s="9"/>
    </row>
    <row r="99" spans="2:11" ht="13.5" thickBot="1" x14ac:dyDescent="0.25">
      <c r="B99" s="34"/>
      <c r="C99" s="69"/>
      <c r="D99" s="70"/>
      <c r="E99" s="69"/>
      <c r="F99" s="11"/>
      <c r="G99" s="11"/>
      <c r="H99" s="11"/>
      <c r="I99" s="11"/>
      <c r="J99" s="11"/>
      <c r="K99" s="11"/>
    </row>
    <row r="100" spans="2:11" ht="13.5" thickBot="1" x14ac:dyDescent="0.25">
      <c r="B100" s="29" t="s">
        <v>15</v>
      </c>
      <c r="C100" s="65">
        <f>SUM(C95:C98)</f>
        <v>4746.8500000000004</v>
      </c>
      <c r="D100" s="65">
        <f t="shared" ref="D100:E100" si="21">SUM(D95:D98)</f>
        <v>16000</v>
      </c>
      <c r="E100" s="65">
        <f t="shared" si="21"/>
        <v>11253.15</v>
      </c>
      <c r="F100" s="78">
        <f>SUM(F95:F98)</f>
        <v>41254.07</v>
      </c>
      <c r="G100" s="78">
        <f t="shared" ref="G100:H100" si="22">SUM(G95:G98)</f>
        <v>55000</v>
      </c>
      <c r="H100" s="78">
        <f t="shared" si="22"/>
        <v>13745.93</v>
      </c>
      <c r="I100" s="27"/>
      <c r="J100" s="27"/>
      <c r="K100" s="28"/>
    </row>
    <row r="101" spans="2:11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x14ac:dyDescent="0.2">
      <c r="B102" s="25" t="s">
        <v>51</v>
      </c>
      <c r="C102" s="62"/>
      <c r="D102" s="68"/>
      <c r="E102" s="62"/>
      <c r="F102" s="9"/>
      <c r="G102" s="9"/>
      <c r="H102" s="9"/>
      <c r="I102" s="9"/>
      <c r="J102" s="9"/>
      <c r="K102" s="9"/>
    </row>
    <row r="103" spans="2:11" x14ac:dyDescent="0.2">
      <c r="B103" s="34" t="s">
        <v>52</v>
      </c>
      <c r="C103" s="129">
        <v>10025.200000000001</v>
      </c>
      <c r="D103" s="130">
        <v>16000</v>
      </c>
      <c r="E103" s="125">
        <f>D103-C103</f>
        <v>5974.7999999999993</v>
      </c>
      <c r="F103" s="140">
        <v>13464.98</v>
      </c>
      <c r="G103" s="56">
        <f>3000+3000+3000+6000+16000</f>
        <v>31000</v>
      </c>
      <c r="H103" s="51">
        <f>G103-F103</f>
        <v>17535.02</v>
      </c>
      <c r="I103" s="9"/>
      <c r="J103" s="9"/>
      <c r="K103" s="9"/>
    </row>
    <row r="104" spans="2:11" x14ac:dyDescent="0.2">
      <c r="B104" s="34" t="s">
        <v>53</v>
      </c>
      <c r="C104" s="62">
        <v>0</v>
      </c>
      <c r="D104" s="130">
        <v>0</v>
      </c>
      <c r="E104" s="125">
        <f>D104-C104</f>
        <v>0</v>
      </c>
      <c r="F104" s="56"/>
      <c r="G104" s="56">
        <f>D104</f>
        <v>0</v>
      </c>
      <c r="H104" s="51">
        <f>G104-F104</f>
        <v>0</v>
      </c>
      <c r="I104" s="9"/>
      <c r="J104" s="9"/>
      <c r="K104" s="9"/>
    </row>
    <row r="105" spans="2:11" ht="13.5" thickBot="1" x14ac:dyDescent="0.25">
      <c r="B105" s="34"/>
      <c r="C105" s="62"/>
      <c r="D105" s="68"/>
      <c r="E105" s="62"/>
      <c r="F105" s="9"/>
      <c r="G105" s="9"/>
      <c r="H105" s="9"/>
      <c r="I105" s="9"/>
      <c r="J105" s="9"/>
      <c r="K105" s="9"/>
    </row>
    <row r="106" spans="2:11" ht="13.5" thickBot="1" x14ac:dyDescent="0.25">
      <c r="B106" s="29" t="s">
        <v>15</v>
      </c>
      <c r="C106" s="65">
        <f>SUM(C103:C104)</f>
        <v>10025.200000000001</v>
      </c>
      <c r="D106" s="65">
        <f t="shared" ref="D106:E106" si="23">SUM(D103:D104)</f>
        <v>16000</v>
      </c>
      <c r="E106" s="65">
        <f t="shared" si="23"/>
        <v>5974.7999999999993</v>
      </c>
      <c r="F106" s="78">
        <f>SUM(F103:F104)</f>
        <v>13464.98</v>
      </c>
      <c r="G106" s="78">
        <f t="shared" ref="G106:H106" si="24">SUM(G103:G104)</f>
        <v>31000</v>
      </c>
      <c r="H106" s="78">
        <f t="shared" si="24"/>
        <v>17535.02</v>
      </c>
      <c r="I106" s="27"/>
      <c r="J106" s="27"/>
      <c r="K106" s="28"/>
    </row>
    <row r="107" spans="2:11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x14ac:dyDescent="0.2">
      <c r="B108" s="63"/>
      <c r="C108" s="62"/>
      <c r="D108" s="62"/>
      <c r="E108" s="62"/>
      <c r="F108" s="9"/>
      <c r="G108" s="9"/>
      <c r="H108" s="9"/>
      <c r="I108" s="9"/>
      <c r="J108" s="9"/>
      <c r="K108" s="9"/>
    </row>
    <row r="109" spans="2:11" x14ac:dyDescent="0.2">
      <c r="B109" s="63" t="s">
        <v>137</v>
      </c>
      <c r="C109" s="62"/>
      <c r="D109" s="62"/>
      <c r="E109" s="62"/>
      <c r="F109" s="56">
        <v>-42943.27</v>
      </c>
      <c r="G109" s="9"/>
      <c r="H109" s="9"/>
      <c r="I109" s="9"/>
      <c r="J109" s="9"/>
      <c r="K109" s="9"/>
    </row>
    <row r="110" spans="2:11" x14ac:dyDescent="0.2">
      <c r="B110" s="63"/>
      <c r="C110" s="62"/>
      <c r="D110" s="62"/>
      <c r="E110" s="62"/>
      <c r="F110" s="9"/>
      <c r="G110" s="9"/>
      <c r="H110" s="9"/>
      <c r="I110" s="9"/>
      <c r="J110" s="9"/>
      <c r="K110" s="9"/>
    </row>
    <row r="111" spans="2:11" x14ac:dyDescent="0.2">
      <c r="B111" s="63" t="s">
        <v>54</v>
      </c>
      <c r="C111" s="125">
        <v>1864.31</v>
      </c>
      <c r="D111" s="62">
        <v>6000</v>
      </c>
      <c r="E111" s="62">
        <f>D111-C111</f>
        <v>4135.6900000000005</v>
      </c>
      <c r="F111" s="135">
        <v>21005.45</v>
      </c>
      <c r="G111" s="135">
        <f>75000+25000</f>
        <v>100000</v>
      </c>
      <c r="H111" s="124">
        <f>G111-F111</f>
        <v>78994.55</v>
      </c>
      <c r="I111" s="99" t="s">
        <v>67</v>
      </c>
      <c r="J111" s="9"/>
      <c r="K111" s="9"/>
    </row>
    <row r="112" spans="2:11" ht="13.5" thickBot="1" x14ac:dyDescent="0.25">
      <c r="B112" s="63"/>
      <c r="C112" s="125"/>
      <c r="D112" s="62"/>
      <c r="E112" s="62"/>
      <c r="F112" s="55"/>
      <c r="G112" s="9"/>
      <c r="H112" s="9"/>
      <c r="I112" s="9"/>
      <c r="J112" s="9"/>
      <c r="K112" s="9"/>
    </row>
    <row r="113" spans="2:11" ht="13.5" thickBot="1" x14ac:dyDescent="0.25">
      <c r="B113" s="64" t="s">
        <v>24</v>
      </c>
      <c r="C113" s="73">
        <f t="shared" ref="C113:H113" si="25">C25+C40+C51+C75+C87+C92+C100+C106+C111</f>
        <v>679454.05</v>
      </c>
      <c r="D113" s="73">
        <f t="shared" si="25"/>
        <v>1199574.8</v>
      </c>
      <c r="E113" s="73">
        <f t="shared" si="25"/>
        <v>520120.75000000023</v>
      </c>
      <c r="F113" s="73">
        <f>F25+F40+F51+F75+F87+F92+F100+F106+F111+F109</f>
        <v>7014975.5700000031</v>
      </c>
      <c r="G113" s="73">
        <f t="shared" si="25"/>
        <v>8548321.2899999991</v>
      </c>
      <c r="H113" s="73">
        <f t="shared" si="25"/>
        <v>1488902.4500000002</v>
      </c>
      <c r="I113" s="60"/>
      <c r="J113" s="85"/>
      <c r="K113" s="103"/>
    </row>
    <row r="114" spans="2:11" x14ac:dyDescent="0.2">
      <c r="F114" s="107"/>
    </row>
    <row r="115" spans="2:11" x14ac:dyDescent="0.2">
      <c r="C115" s="107"/>
      <c r="D115" s="107"/>
      <c r="F115" s="107"/>
    </row>
    <row r="116" spans="2:11" x14ac:dyDescent="0.2">
      <c r="C116" s="93"/>
      <c r="D116" s="107"/>
      <c r="E116" s="121"/>
      <c r="F116" s="107"/>
      <c r="G116" s="107"/>
    </row>
    <row r="117" spans="2:11" x14ac:dyDescent="0.2">
      <c r="B117" t="s">
        <v>73</v>
      </c>
      <c r="C117" s="93"/>
      <c r="D117" s="107"/>
      <c r="E117" s="122"/>
      <c r="F117" s="107"/>
      <c r="G117" s="107"/>
    </row>
    <row r="118" spans="2:11" x14ac:dyDescent="0.2">
      <c r="B118" t="s">
        <v>69</v>
      </c>
      <c r="C118" s="93"/>
      <c r="D118" s="107"/>
      <c r="E118" s="121"/>
      <c r="F118" s="107"/>
      <c r="G118" s="93"/>
    </row>
    <row r="119" spans="2:11" x14ac:dyDescent="0.2">
      <c r="B119" t="s">
        <v>70</v>
      </c>
      <c r="C119" s="93" t="s">
        <v>126</v>
      </c>
      <c r="D119" s="107"/>
      <c r="E119" s="93"/>
      <c r="F119" s="93"/>
    </row>
    <row r="120" spans="2:11" x14ac:dyDescent="0.2">
      <c r="C120" s="93"/>
      <c r="D120" s="107"/>
      <c r="F120" s="93"/>
    </row>
    <row r="121" spans="2:11" x14ac:dyDescent="0.2">
      <c r="D121" s="107"/>
    </row>
    <row r="122" spans="2:11" x14ac:dyDescent="0.2">
      <c r="D122" s="107"/>
    </row>
    <row r="123" spans="2:11" x14ac:dyDescent="0.2">
      <c r="F123" s="93"/>
    </row>
    <row r="124" spans="2:11" hidden="1" x14ac:dyDescent="0.2">
      <c r="B124" s="20" t="s">
        <v>121</v>
      </c>
    </row>
    <row r="125" spans="2:11" hidden="1" x14ac:dyDescent="0.2">
      <c r="B125" s="143" t="s">
        <v>122</v>
      </c>
      <c r="C125">
        <f>G5</f>
        <v>0</v>
      </c>
    </row>
    <row r="126" spans="2:11" hidden="1" x14ac:dyDescent="0.2">
      <c r="B126" s="143" t="s">
        <v>123</v>
      </c>
      <c r="F126" s="107"/>
    </row>
    <row r="127" spans="2:11" hidden="1" x14ac:dyDescent="0.2">
      <c r="B127" s="143" t="s">
        <v>124</v>
      </c>
    </row>
    <row r="128" spans="2:11" hidden="1" x14ac:dyDescent="0.2">
      <c r="B128" s="143" t="s">
        <v>125</v>
      </c>
    </row>
    <row r="129" spans="2:2" hidden="1" x14ac:dyDescent="0.2"/>
    <row r="130" spans="2:2" hidden="1" x14ac:dyDescent="0.2"/>
    <row r="131" spans="2:2" hidden="1" x14ac:dyDescent="0.2"/>
    <row r="132" spans="2:2" hidden="1" x14ac:dyDescent="0.2"/>
    <row r="134" spans="2:2" x14ac:dyDescent="0.2">
      <c r="B134" s="20"/>
    </row>
    <row r="135" spans="2:2" x14ac:dyDescent="0.2">
      <c r="B135" s="143"/>
    </row>
  </sheetData>
  <mergeCells count="8">
    <mergeCell ref="B4:J4"/>
    <mergeCell ref="C13:E13"/>
    <mergeCell ref="F13:H13"/>
    <mergeCell ref="C14:E14"/>
    <mergeCell ref="F14:H14"/>
    <mergeCell ref="B7:J7"/>
    <mergeCell ref="B8:J8"/>
    <mergeCell ref="B6:J6"/>
  </mergeCells>
  <phoneticPr fontId="0" type="noConversion"/>
  <pageMargins left="0.51" right="0.75" top="0.43" bottom="0.36" header="0.21" footer="0.18"/>
  <pageSetup paperSize="9" scale="60" orientation="landscape" r:id="rId1"/>
  <headerFooter alignWithMargins="0"/>
  <ignoredErrors>
    <ignoredError sqref="F113 F97: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27"/>
  <sheetViews>
    <sheetView topLeftCell="B1" workbookViewId="0">
      <selection activeCell="E16" sqref="E16"/>
    </sheetView>
  </sheetViews>
  <sheetFormatPr defaultRowHeight="12.75" x14ac:dyDescent="0.2"/>
  <cols>
    <col min="2" max="2" width="6.7109375" customWidth="1"/>
    <col min="3" max="3" width="78.7109375" customWidth="1"/>
    <col min="4" max="4" width="32.28515625" customWidth="1"/>
    <col min="5" max="5" width="21.85546875" customWidth="1"/>
    <col min="6" max="6" width="14" bestFit="1" customWidth="1"/>
    <col min="7" max="7" width="13.7109375" customWidth="1"/>
    <col min="8" max="8" width="14" bestFit="1" customWidth="1"/>
  </cols>
  <sheetData>
    <row r="1" spans="3:8" x14ac:dyDescent="0.2">
      <c r="C1" s="4"/>
      <c r="D1" s="4"/>
      <c r="E1" s="4"/>
    </row>
    <row r="2" spans="3:8" x14ac:dyDescent="0.2">
      <c r="C2" s="150" t="s">
        <v>64</v>
      </c>
      <c r="D2" s="150"/>
      <c r="E2" s="150"/>
    </row>
    <row r="3" spans="3:8" ht="15" x14ac:dyDescent="0.25">
      <c r="C3" s="156" t="s">
        <v>21</v>
      </c>
      <c r="D3" s="156"/>
      <c r="E3" s="156"/>
    </row>
    <row r="4" spans="3:8" ht="15" x14ac:dyDescent="0.25">
      <c r="C4" s="104" t="s">
        <v>31</v>
      </c>
      <c r="D4" s="82"/>
      <c r="E4" s="82"/>
    </row>
    <row r="5" spans="3:8" ht="15" x14ac:dyDescent="0.25">
      <c r="C5" s="82"/>
      <c r="D5" s="82"/>
      <c r="E5" s="82"/>
    </row>
    <row r="6" spans="3:8" s="46" customFormat="1" ht="24" x14ac:dyDescent="0.2">
      <c r="C6" s="45" t="s">
        <v>25</v>
      </c>
      <c r="D6" s="45" t="s">
        <v>26</v>
      </c>
      <c r="E6" s="45" t="s">
        <v>27</v>
      </c>
      <c r="F6" s="45" t="s">
        <v>28</v>
      </c>
      <c r="G6" s="45" t="s">
        <v>29</v>
      </c>
      <c r="H6" s="45" t="s">
        <v>30</v>
      </c>
    </row>
    <row r="7" spans="3:8" x14ac:dyDescent="0.2">
      <c r="C7" s="92"/>
      <c r="D7" s="9"/>
      <c r="E7" s="9"/>
      <c r="F7" s="9"/>
      <c r="G7" s="9"/>
      <c r="H7" s="9"/>
    </row>
    <row r="8" spans="3:8" x14ac:dyDescent="0.2">
      <c r="C8" s="25" t="s">
        <v>34</v>
      </c>
      <c r="D8" s="92"/>
      <c r="E8" s="92"/>
      <c r="F8" s="94"/>
      <c r="G8" s="94"/>
      <c r="H8" s="95"/>
    </row>
    <row r="9" spans="3:8" x14ac:dyDescent="0.2">
      <c r="C9" s="92"/>
      <c r="D9" s="92"/>
      <c r="E9" s="92"/>
      <c r="F9" s="9"/>
      <c r="G9" s="9"/>
      <c r="H9" s="9"/>
    </row>
    <row r="10" spans="3:8" x14ac:dyDescent="0.2">
      <c r="C10" s="92"/>
      <c r="D10" s="9"/>
      <c r="E10" s="9"/>
      <c r="F10" s="9"/>
      <c r="G10" s="9"/>
      <c r="H10" s="9"/>
    </row>
    <row r="11" spans="3:8" x14ac:dyDescent="0.2">
      <c r="C11" s="92"/>
      <c r="D11" s="9"/>
      <c r="E11" s="9"/>
      <c r="F11" s="9"/>
      <c r="G11" s="9"/>
      <c r="H11" s="9"/>
    </row>
    <row r="12" spans="3:8" x14ac:dyDescent="0.2">
      <c r="C12" s="92"/>
      <c r="D12" s="9"/>
      <c r="E12" s="9"/>
      <c r="F12" s="9"/>
      <c r="G12" s="9"/>
      <c r="H12" s="9"/>
    </row>
    <row r="13" spans="3:8" x14ac:dyDescent="0.2">
      <c r="C13" s="92"/>
      <c r="D13" s="92"/>
      <c r="E13" s="92"/>
      <c r="F13" s="94"/>
      <c r="G13" s="94"/>
      <c r="H13" s="95"/>
    </row>
    <row r="14" spans="3:8" x14ac:dyDescent="0.2">
      <c r="C14" s="92"/>
      <c r="D14" s="92"/>
      <c r="E14" s="92"/>
      <c r="F14" s="9"/>
      <c r="G14" s="9"/>
      <c r="H14" s="9"/>
    </row>
    <row r="15" spans="3:8" x14ac:dyDescent="0.2">
      <c r="C15" s="92"/>
      <c r="D15" s="92"/>
      <c r="E15" s="92"/>
      <c r="F15" s="9"/>
      <c r="G15" s="9"/>
      <c r="H15" s="9"/>
    </row>
    <row r="16" spans="3:8" x14ac:dyDescent="0.2">
      <c r="C16" s="92"/>
      <c r="D16" s="9"/>
      <c r="E16" s="92"/>
      <c r="F16" s="9"/>
      <c r="G16" s="9"/>
      <c r="H16" s="9"/>
    </row>
    <row r="17" spans="3:8" x14ac:dyDescent="0.2">
      <c r="C17" s="92"/>
      <c r="D17" s="9"/>
      <c r="E17" s="92"/>
      <c r="F17" s="9"/>
      <c r="G17" s="9"/>
      <c r="H17" s="9"/>
    </row>
    <row r="18" spans="3:8" x14ac:dyDescent="0.2">
      <c r="C18" s="92"/>
      <c r="D18" s="9"/>
      <c r="E18" s="9"/>
      <c r="F18" s="9"/>
      <c r="G18" s="9"/>
      <c r="H18" s="9"/>
    </row>
    <row r="19" spans="3:8" x14ac:dyDescent="0.2">
      <c r="C19" s="47"/>
      <c r="D19" s="9"/>
      <c r="E19" s="9"/>
      <c r="F19" s="9"/>
      <c r="G19" s="9"/>
      <c r="H19" s="9"/>
    </row>
    <row r="20" spans="3:8" x14ac:dyDescent="0.2">
      <c r="C20" s="47"/>
      <c r="D20" s="9"/>
      <c r="E20" s="9"/>
      <c r="F20" s="9"/>
      <c r="G20" s="9"/>
      <c r="H20" s="9"/>
    </row>
    <row r="21" spans="3:8" x14ac:dyDescent="0.2">
      <c r="C21" s="92"/>
      <c r="D21" s="9"/>
      <c r="E21" s="9"/>
      <c r="F21" s="9"/>
      <c r="G21" s="9"/>
      <c r="H21" s="9"/>
    </row>
    <row r="22" spans="3:8" x14ac:dyDescent="0.2">
      <c r="C22" s="9"/>
      <c r="D22" s="9"/>
      <c r="E22" s="9"/>
      <c r="F22" s="9"/>
      <c r="G22" s="9"/>
      <c r="H22" s="9"/>
    </row>
    <row r="23" spans="3:8" x14ac:dyDescent="0.2">
      <c r="C23" s="92"/>
      <c r="D23" s="9"/>
      <c r="E23" s="9"/>
      <c r="F23" s="9"/>
      <c r="G23" s="9"/>
      <c r="H23" s="9"/>
    </row>
    <row r="24" spans="3:8" x14ac:dyDescent="0.2">
      <c r="C24" s="92"/>
      <c r="D24" s="92"/>
      <c r="E24" s="9"/>
      <c r="F24" s="96"/>
      <c r="G24" s="96"/>
      <c r="H24" s="96"/>
    </row>
    <row r="25" spans="3:8" x14ac:dyDescent="0.2">
      <c r="C25" s="92"/>
      <c r="D25" s="92"/>
      <c r="E25" s="9"/>
      <c r="F25" s="9"/>
      <c r="G25" s="9"/>
      <c r="H25" s="9"/>
    </row>
    <row r="26" spans="3:8" x14ac:dyDescent="0.2">
      <c r="C26" s="92"/>
      <c r="D26" s="92"/>
      <c r="E26" s="9"/>
      <c r="F26" s="9"/>
      <c r="G26" s="9"/>
      <c r="H26" s="9"/>
    </row>
    <row r="27" spans="3:8" x14ac:dyDescent="0.2">
      <c r="C27" s="9"/>
      <c r="D27" s="9"/>
      <c r="E27" s="9"/>
      <c r="F27" s="9"/>
      <c r="G27" s="9"/>
      <c r="H27" s="9"/>
    </row>
  </sheetData>
  <mergeCells count="2">
    <mergeCell ref="C2:E2"/>
    <mergeCell ref="C3:E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C14" sqref="C14"/>
    </sheetView>
  </sheetViews>
  <sheetFormatPr defaultRowHeight="12.75" x14ac:dyDescent="0.2"/>
  <cols>
    <col min="1" max="1" width="39.42578125" customWidth="1"/>
    <col min="2" max="2" width="16.42578125" customWidth="1"/>
    <col min="3" max="3" width="16.140625" bestFit="1" customWidth="1"/>
  </cols>
  <sheetData>
    <row r="1" spans="1:3" ht="30.75" customHeight="1" x14ac:dyDescent="0.2">
      <c r="A1" s="144" t="s">
        <v>129</v>
      </c>
      <c r="B1" s="144" t="s">
        <v>130</v>
      </c>
      <c r="C1" s="144" t="s">
        <v>131</v>
      </c>
    </row>
    <row r="2" spans="1:3" ht="20.25" customHeight="1" x14ac:dyDescent="0.2">
      <c r="A2" s="9" t="s">
        <v>132</v>
      </c>
      <c r="B2" s="147">
        <v>8000000</v>
      </c>
      <c r="C2" s="145">
        <v>1</v>
      </c>
    </row>
    <row r="3" spans="1:3" ht="20.25" customHeight="1" x14ac:dyDescent="0.2">
      <c r="A3" s="9" t="s">
        <v>133</v>
      </c>
      <c r="B3" s="147">
        <f>'Sources and Uses of Funds'!D26</f>
        <v>6600062.5599999996</v>
      </c>
      <c r="C3" s="146">
        <f>B3/B2</f>
        <v>0.82500781999999995</v>
      </c>
    </row>
    <row r="4" spans="1:3" ht="20.25" customHeight="1" x14ac:dyDescent="0.2">
      <c r="A4" s="9" t="s">
        <v>134</v>
      </c>
      <c r="B4" s="147">
        <f>'Sources and Uses of Funds'!D50</f>
        <v>7014975.5700000031</v>
      </c>
      <c r="C4" s="146">
        <f>B4/B2</f>
        <v>0.87687194625000042</v>
      </c>
    </row>
    <row r="5" spans="1:3" x14ac:dyDescent="0.2">
      <c r="B5" s="93"/>
    </row>
    <row r="6" spans="1:3" x14ac:dyDescent="0.2">
      <c r="B6" s="93"/>
    </row>
    <row r="8" spans="1:3" x14ac:dyDescent="0.2">
      <c r="B8" s="93"/>
      <c r="C8" s="93"/>
    </row>
    <row r="9" spans="1:3" x14ac:dyDescent="0.2">
      <c r="B9" s="93"/>
    </row>
    <row r="11" spans="1:3" x14ac:dyDescent="0.2">
      <c r="B11" s="107"/>
    </row>
    <row r="12" spans="1:3" x14ac:dyDescent="0.2">
      <c r="B12" s="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and Uses of Funds</vt:lpstr>
      <vt:lpstr>uses of fund by component</vt:lpstr>
      <vt:lpstr>notes</vt:lpstr>
      <vt:lpstr>Sheet2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2018-09-26T11:27:14Z</cp:lastPrinted>
  <dcterms:created xsi:type="dcterms:W3CDTF">2007-11-21T06:38:14Z</dcterms:created>
  <dcterms:modified xsi:type="dcterms:W3CDTF">2020-01-30T11:04:55Z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1358434020</vt:i4>
  </property>
  <property fmtid="{D5CDD505-2E9C-101B-9397-08002B2CF9AE}" pid="3" name="_EmailSubject">
    <vt:lpwstr>Proposed Financial  Schedules for the new CTCRP - TANROADS</vt:lpwstr>
  </property>
  <property fmtid="{D5CDD505-2E9C-101B-9397-08002B2CF9AE}" pid="4" name="_AuthorEmail">
    <vt:lpwstr>meritus.njeama@tanroads.org</vt:lpwstr>
  </property>
  <property fmtid="{D5CDD505-2E9C-101B-9397-08002B2CF9AE}" pid="5" name="_AuthorEmailDisplayName">
    <vt:lpwstr>meritus njeama</vt:lpwstr>
  </property>
  <property fmtid="{D5CDD505-2E9C-101B-9397-08002B2CF9AE}" pid="6" name="_ReviewingToolsShownOnce">
    <vt:lpwstr/>
  </property>
</Properties>
</file>